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rawdata" sheetId="1" r:id="rId1"/>
    <sheet name="history" sheetId="2" r:id="rId2"/>
    <sheet name="charts" sheetId="3" r:id="rId3"/>
  </sheets>
  <definedNames/>
  <calcPr fullCalcOnLoad="1"/>
</workbook>
</file>

<file path=xl/sharedStrings.xml><?xml version="1.0" encoding="utf-8"?>
<sst xmlns="http://schemas.openxmlformats.org/spreadsheetml/2006/main" count="257" uniqueCount="60">
  <si>
    <t>1. Which direction do you think the S&amp;P500 index will move from this coming Monday's open to Friday's close (October 1st to October 5th)?</t>
  </si>
  <si>
    <t>2. Rate your confidence in your answer to Question #1 by estimating the probability you have correctly predicted next week's market move.</t>
  </si>
  <si>
    <t>3. For your answer to Question #1, please share what specific reason(s) you think the S&amp;P500 will be heading the direction you chose.</t>
  </si>
  <si>
    <t>4. What procedures do you use for trade management? (e.g. position size, stops, scaling in or out, etc.)</t>
  </si>
  <si>
    <t>5. Additional Comments/Questions/Suggestions?</t>
  </si>
  <si>
    <t>Higher</t>
  </si>
  <si>
    <t>I like Donald</t>
  </si>
  <si>
    <t>It's a bull market!</t>
  </si>
  <si>
    <t>Position size, stops, market direction.</t>
  </si>
  <si>
    <t>I don't know</t>
  </si>
  <si>
    <t>stops</t>
  </si>
  <si>
    <t>Bounce off of daily 20 period EMA &amp; higher low.</t>
  </si>
  <si>
    <t>Proper stops, no scaling, support &amp; resistance, use of trailing stops if trending</t>
  </si>
  <si>
    <t>None</t>
  </si>
  <si>
    <t>50 d ma and 20 day ma up, at bottom of upward channel</t>
  </si>
  <si>
    <t>position size, stops, sometimes scaling</t>
  </si>
  <si>
    <t xml:space="preserve">   seasonality is against my answers. </t>
  </si>
  <si>
    <t>Holding the 50% retracement long in the S&amp;P at $2905</t>
  </si>
  <si>
    <t>Daily loss limit, weekly loss limit, # of stops per day.</t>
  </si>
  <si>
    <t>Mid-term elections.</t>
  </si>
  <si>
    <t>Algorithmic</t>
  </si>
  <si>
    <t>history.</t>
  </si>
  <si>
    <t>I try to keep position sizes of relatively the same size.</t>
  </si>
  <si>
    <t>still buying</t>
  </si>
  <si>
    <t>The S&amp;P was in consolidation the previous week, which provides a good setup for a rise this week. Also, a nice GDP increase and good earnings expectations should help.</t>
  </si>
  <si>
    <t>Elliott wave pattern.</t>
  </si>
  <si>
    <t>Large volume trades show more selling. Low volume trades still show buying. I don't know whether "the top" is in yet, but I'm sure not going to buy the dips.</t>
  </si>
  <si>
    <t>Scaling in.</t>
  </si>
  <si>
    <t>Lower</t>
  </si>
  <si>
    <t xml:space="preserve">Overbought markets. 3rd qtr ended - sellers should return. </t>
  </si>
  <si>
    <t xml:space="preserve">Position sizing used with various strategies. All in all out also used depending on strategy used. Stops are very important and honoring them is critical in maintaining risk management. </t>
  </si>
  <si>
    <t>Tariffs</t>
  </si>
  <si>
    <t>start small, 8% loss stops, take off profits 35%</t>
  </si>
  <si>
    <t>Current white administration is bringing too much controversy and distrust</t>
  </si>
  <si>
    <t xml:space="preserve">Scaling </t>
  </si>
  <si>
    <t>Is there a better and close too 100% certainty to read the market in the USA??</t>
  </si>
  <si>
    <t>Due to the Presidents nonsense position size</t>
  </si>
  <si>
    <t>Position size</t>
  </si>
  <si>
    <t>Its ending pullback in all my s tocks</t>
  </si>
  <si>
    <t>Mental stops</t>
  </si>
  <si>
    <t>Tarriffs!</t>
  </si>
  <si>
    <t>*Date is the Monday of the week that was being predicted in the most recent survey.</t>
  </si>
  <si>
    <t>Lower Chance</t>
  </si>
  <si>
    <t>Week</t>
  </si>
  <si>
    <t>H/L Diff</t>
  </si>
  <si>
    <t>Avg Confidence</t>
  </si>
  <si>
    <t>Confidence Higher</t>
  </si>
  <si>
    <t>Confidence Lower</t>
  </si>
  <si>
    <t>Con Diff</t>
  </si>
  <si>
    <t>Sentiment</t>
  </si>
  <si>
    <t>Forecast</t>
  </si>
  <si>
    <t>Actual</t>
  </si>
  <si>
    <t>Correct?</t>
  </si>
  <si>
    <t>SentCorrect</t>
  </si>
  <si>
    <t>Sent</t>
  </si>
  <si>
    <t>12w</t>
  </si>
  <si>
    <t>52w</t>
  </si>
  <si>
    <t>Higher Chance</t>
  </si>
  <si>
    <t>N/A</t>
  </si>
  <si>
    <t>???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</si>
</sst>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.00%"/>
    <numFmt numFmtId="166" formatCode="0.0%"/>
    <numFmt numFmtId="167" formatCode="0%"/>
    <numFmt numFmtId="168" formatCode="0"/>
    <numFmt numFmtId="169" formatCode="#,##0.00"/>
    <numFmt numFmtId="170" formatCode="MM/DD/YY"/>
    <numFmt numFmtId="171" formatCode="@"/>
    <numFmt numFmtId="172" formatCode="&quot;TRUE&quot;;&quot;TRUE&quot;;&quot;FALSE&quot;"/>
  </numFmts>
  <fonts count="15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0"/>
      <name val="Arial"/>
      <family val="2"/>
    </font>
    <font>
      <sz val="13"/>
      <color indexed="8"/>
      <name val="Arial"/>
      <family val="2"/>
    </font>
    <font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11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31">
    <xf numFmtId="164" fontId="0" fillId="0" borderId="0" xfId="0" applyAlignment="1">
      <alignment/>
    </xf>
    <xf numFmtId="164" fontId="0" fillId="0" borderId="0" xfId="0" applyAlignment="1">
      <alignment horizontal="left"/>
    </xf>
    <xf numFmtId="165" fontId="0" fillId="0" borderId="0" xfId="0" applyNumberFormat="1" applyAlignment="1">
      <alignment horizontal="left"/>
    </xf>
    <xf numFmtId="164" fontId="0" fillId="0" borderId="0" xfId="0" applyFont="1" applyAlignment="1">
      <alignment horizontal="left"/>
    </xf>
    <xf numFmtId="164" fontId="0" fillId="0" borderId="0" xfId="0" applyFont="1" applyFill="1" applyAlignment="1">
      <alignment horizontal="left"/>
    </xf>
    <xf numFmtId="166" fontId="0" fillId="8" borderId="0" xfId="0" applyNumberFormat="1" applyFont="1" applyFill="1" applyAlignment="1">
      <alignment horizontal="left"/>
    </xf>
    <xf numFmtId="166" fontId="0" fillId="0" borderId="0" xfId="0" applyNumberFormat="1" applyFont="1" applyAlignment="1">
      <alignment horizontal="left"/>
    </xf>
    <xf numFmtId="166" fontId="0" fillId="0" borderId="0" xfId="0" applyNumberFormat="1" applyFont="1" applyFill="1" applyAlignment="1">
      <alignment horizontal="left"/>
    </xf>
    <xf numFmtId="167" fontId="0" fillId="8" borderId="0" xfId="0" applyNumberFormat="1" applyFont="1" applyFill="1" applyAlignment="1">
      <alignment horizontal="left"/>
    </xf>
    <xf numFmtId="168" fontId="0" fillId="8" borderId="0" xfId="0" applyNumberFormat="1" applyFont="1" applyFill="1" applyAlignment="1">
      <alignment horizontal="left"/>
    </xf>
    <xf numFmtId="168" fontId="0" fillId="0" borderId="0" xfId="0" applyNumberFormat="1" applyFont="1" applyAlignment="1">
      <alignment horizontal="left"/>
    </xf>
    <xf numFmtId="169" fontId="0" fillId="8" borderId="0" xfId="0" applyNumberFormat="1" applyFont="1" applyFill="1" applyAlignment="1">
      <alignment horizontal="left"/>
    </xf>
    <xf numFmtId="169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4" fontId="12" fillId="0" borderId="0" xfId="0" applyFont="1" applyFill="1" applyAlignment="1">
      <alignment horizontal="left"/>
    </xf>
    <xf numFmtId="170" fontId="12" fillId="0" borderId="0" xfId="0" applyNumberFormat="1" applyFont="1" applyFill="1" applyBorder="1" applyAlignment="1">
      <alignment horizontal="left" vertical="center"/>
    </xf>
    <xf numFmtId="167" fontId="12" fillId="8" borderId="0" xfId="0" applyNumberFormat="1" applyFont="1" applyFill="1" applyBorder="1" applyAlignment="1">
      <alignment horizontal="left" vertical="center"/>
    </xf>
    <xf numFmtId="168" fontId="12" fillId="8" borderId="0" xfId="0" applyNumberFormat="1" applyFont="1" applyFill="1" applyBorder="1" applyAlignment="1">
      <alignment horizontal="left" vertical="center"/>
    </xf>
    <xf numFmtId="165" fontId="12" fillId="0" borderId="0" xfId="0" applyNumberFormat="1" applyFont="1" applyFill="1" applyAlignment="1">
      <alignment horizontal="left"/>
    </xf>
    <xf numFmtId="168" fontId="12" fillId="0" borderId="0" xfId="0" applyNumberFormat="1" applyFont="1" applyFill="1" applyAlignment="1">
      <alignment horizontal="left"/>
    </xf>
    <xf numFmtId="166" fontId="12" fillId="0" borderId="0" xfId="0" applyNumberFormat="1" applyFont="1" applyFill="1" applyAlignment="1">
      <alignment horizontal="left"/>
    </xf>
    <xf numFmtId="169" fontId="12" fillId="8" borderId="0" xfId="0" applyNumberFormat="1" applyFont="1" applyFill="1" applyAlignment="1">
      <alignment horizontal="left"/>
    </xf>
    <xf numFmtId="169" fontId="12" fillId="0" borderId="0" xfId="0" applyNumberFormat="1" applyFont="1" applyFill="1" applyAlignment="1">
      <alignment horizontal="left"/>
    </xf>
    <xf numFmtId="170" fontId="12" fillId="0" borderId="0" xfId="0" applyNumberFormat="1" applyFont="1" applyFill="1" applyAlignment="1">
      <alignment horizontal="left"/>
    </xf>
    <xf numFmtId="167" fontId="12" fillId="8" borderId="0" xfId="0" applyNumberFormat="1" applyFont="1" applyFill="1" applyAlignment="1">
      <alignment horizontal="left"/>
    </xf>
    <xf numFmtId="168" fontId="12" fillId="8" borderId="0" xfId="0" applyNumberFormat="1" applyFont="1" applyFill="1" applyAlignment="1">
      <alignment horizontal="left"/>
    </xf>
    <xf numFmtId="167" fontId="12" fillId="0" borderId="0" xfId="0" applyNumberFormat="1" applyFont="1" applyFill="1" applyAlignment="1">
      <alignment horizontal="left"/>
    </xf>
    <xf numFmtId="164" fontId="12" fillId="0" borderId="0" xfId="0" applyFont="1" applyFill="1" applyAlignment="1">
      <alignment/>
    </xf>
    <xf numFmtId="171" fontId="12" fillId="0" borderId="0" xfId="0" applyNumberFormat="1" applyFont="1" applyFill="1" applyAlignment="1">
      <alignment horizontal="left"/>
    </xf>
    <xf numFmtId="170" fontId="0" fillId="0" borderId="0" xfId="0" applyNumberFormat="1" applyFont="1" applyFill="1" applyAlignment="1">
      <alignment horizontal="left"/>
    </xf>
    <xf numFmtId="172" fontId="0" fillId="0" borderId="0" xfId="0" applyNumberFormat="1" applyFont="1" applyAlignment="1">
      <alignment horizontal="left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Neutral 1" xfId="31"/>
    <cellStyle name="Note 1" xfId="32"/>
    <cellStyle name="Status 1" xfId="33"/>
    <cellStyle name="Text 1" xfId="34"/>
    <cellStyle name="Warning 1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Question #1 - Higher or Lower?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375"/>
          <c:w val="0.9065"/>
          <c:h val="0.81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history!$C$3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history!$B$4:$B$264</c:f>
              <c:strCache/>
            </c:strRef>
          </c:cat>
          <c:val>
            <c:numRef>
              <c:f>history!$C$4:$C$264</c:f>
              <c:numCache/>
            </c:numRef>
          </c:val>
        </c:ser>
        <c:ser>
          <c:idx val="1"/>
          <c:order val="1"/>
          <c:tx>
            <c:strRef>
              <c:f>history!$D$3</c:f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history!$B$4:$B$264</c:f>
              <c:strCache/>
            </c:strRef>
          </c:cat>
          <c:val>
            <c:numRef>
              <c:f>history!$D$4:$D$264</c:f>
              <c:numCache/>
            </c:numRef>
          </c:val>
        </c:ser>
        <c:gapWidth val="100"/>
        <c:axId val="9170404"/>
        <c:axId val="15424773"/>
      </c:barChart>
      <c:catAx>
        <c:axId val="9170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424773"/>
        <c:crossesAt val="0"/>
        <c:auto val="0"/>
        <c:lblOffset val="100"/>
        <c:noMultiLvlLbl val="0"/>
      </c:catAx>
      <c:valAx>
        <c:axId val="15424773"/>
        <c:scaling>
          <c:orientation val="minMax"/>
          <c:max val="0.9"/>
          <c:min val="0.1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170404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4135"/>
          <c:y val="0.0875"/>
          <c:w val="0.18425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Question #2 - Confidence Rating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4575"/>
          <c:w val="0.94"/>
          <c:h val="0.8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history!$G$3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history!$B$4:$B$264</c:f>
              <c:strCache/>
            </c:strRef>
          </c:cat>
          <c:val>
            <c:numRef>
              <c:f>history!$G$4:$G$264</c:f>
              <c:numCache/>
            </c:numRef>
          </c:val>
        </c:ser>
        <c:ser>
          <c:idx val="1"/>
          <c:order val="1"/>
          <c:tx>
            <c:strRef>
              <c:f>history!$H$3</c:f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history!$B$4:$B$264</c:f>
              <c:strCache/>
            </c:strRef>
          </c:cat>
          <c:val>
            <c:numRef>
              <c:f>history!$H$4:$H$264</c:f>
              <c:numCache/>
            </c:numRef>
          </c:val>
        </c:ser>
        <c:gapWidth val="100"/>
        <c:axId val="4605230"/>
        <c:axId val="41447071"/>
      </c:barChart>
      <c:catAx>
        <c:axId val="4605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447071"/>
        <c:crossesAt val="0"/>
        <c:auto val="0"/>
        <c:lblOffset val="100"/>
        <c:noMultiLvlLbl val="0"/>
      </c:catAx>
      <c:valAx>
        <c:axId val="41447071"/>
        <c:scaling>
          <c:orientation val="minMax"/>
          <c:max val="0.8"/>
          <c:min val="0.4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05230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30975"/>
          <c:y val="0.09625"/>
          <c:w val="0.40375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Higher/Lower Difference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18875"/>
          <c:w val="0.9205"/>
          <c:h val="0.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history!$E$3</c:f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history!$B$4:$B$264</c:f>
              <c:strCache/>
            </c:strRef>
          </c:cat>
          <c:val>
            <c:numRef>
              <c:f>history!$E$4:$E$264</c:f>
              <c:numCache/>
            </c:numRef>
          </c:val>
        </c:ser>
        <c:gapWidth val="100"/>
        <c:axId val="37479320"/>
        <c:axId val="1769561"/>
      </c:barChart>
      <c:catAx>
        <c:axId val="37479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69561"/>
        <c:crossesAt val="0"/>
        <c:auto val="0"/>
        <c:lblOffset val="100"/>
        <c:noMultiLvlLbl val="0"/>
      </c:catAx>
      <c:valAx>
        <c:axId val="1769561"/>
        <c:scaling>
          <c:orientation val="minMax"/>
          <c:max val="0.5"/>
          <c:min val="-0.5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479320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Confidence Difference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2145"/>
          <c:w val="0.951"/>
          <c:h val="0.68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history!$I$3</c:f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history!$B$4:$B$264</c:f>
              <c:strCache/>
            </c:strRef>
          </c:cat>
          <c:val>
            <c:numRef>
              <c:f>history!$I$4:$I$264</c:f>
              <c:numCache/>
            </c:numRef>
          </c:val>
        </c:ser>
        <c:gapWidth val="100"/>
        <c:axId val="15926050"/>
        <c:axId val="9116723"/>
      </c:barChart>
      <c:catAx>
        <c:axId val="15926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116723"/>
        <c:crossesAt val="0"/>
        <c:auto val="0"/>
        <c:lblOffset val="100"/>
        <c:noMultiLvlLbl val="0"/>
      </c:catAx>
      <c:valAx>
        <c:axId val="9116723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926050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7</xdr:col>
      <xdr:colOff>200025</xdr:colOff>
      <xdr:row>18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55340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7</xdr:col>
      <xdr:colOff>47625</xdr:colOff>
      <xdr:row>0</xdr:row>
      <xdr:rowOff>0</xdr:rowOff>
    </xdr:from>
    <xdr:to>
      <xdr:col>14</xdr:col>
      <xdr:colOff>400050</xdr:colOff>
      <xdr:row>18</xdr:row>
      <xdr:rowOff>47625</xdr:rowOff>
    </xdr:to>
    <xdr:graphicFrame>
      <xdr:nvGraphicFramePr>
        <xdr:cNvPr id="2" name="Chart 2"/>
        <xdr:cNvGraphicFramePr/>
      </xdr:nvGraphicFramePr>
      <xdr:xfrm>
        <a:off x="5381625" y="0"/>
        <a:ext cx="568642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0</xdr:col>
      <xdr:colOff>0</xdr:colOff>
      <xdr:row>18</xdr:row>
      <xdr:rowOff>57150</xdr:rowOff>
    </xdr:from>
    <xdr:to>
      <xdr:col>7</xdr:col>
      <xdr:colOff>190500</xdr:colOff>
      <xdr:row>26</xdr:row>
      <xdr:rowOff>85725</xdr:rowOff>
    </xdr:to>
    <xdr:graphicFrame>
      <xdr:nvGraphicFramePr>
        <xdr:cNvPr id="3" name="Chart 3"/>
        <xdr:cNvGraphicFramePr/>
      </xdr:nvGraphicFramePr>
      <xdr:xfrm>
        <a:off x="0" y="2971800"/>
        <a:ext cx="5524500" cy="1323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7</xdr:col>
      <xdr:colOff>38100</xdr:colOff>
      <xdr:row>18</xdr:row>
      <xdr:rowOff>57150</xdr:rowOff>
    </xdr:from>
    <xdr:to>
      <xdr:col>14</xdr:col>
      <xdr:colOff>400050</xdr:colOff>
      <xdr:row>26</xdr:row>
      <xdr:rowOff>95250</xdr:rowOff>
    </xdr:to>
    <xdr:graphicFrame>
      <xdr:nvGraphicFramePr>
        <xdr:cNvPr id="4" name="Chart 4"/>
        <xdr:cNvGraphicFramePr/>
      </xdr:nvGraphicFramePr>
      <xdr:xfrm>
        <a:off x="5372100" y="2971800"/>
        <a:ext cx="5695950" cy="1333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zoomScale="75" zoomScaleNormal="75" workbookViewId="0" topLeftCell="A1">
      <selection activeCell="B3" sqref="B3"/>
    </sheetView>
  </sheetViews>
  <sheetFormatPr defaultColWidth="12.57421875" defaultRowHeight="12.75"/>
  <cols>
    <col min="1" max="1" width="13.00390625" style="1" customWidth="1"/>
    <col min="2" max="2" width="13.00390625" style="2" customWidth="1"/>
    <col min="3" max="16384" width="13.00390625" style="1" customWidth="1"/>
  </cols>
  <sheetData>
    <row r="1" ht="14.25">
      <c r="B1" s="2">
        <f>AVERAGE(B5:B36)</f>
        <v>0.6327586206896553</v>
      </c>
    </row>
    <row r="2" ht="14.25">
      <c r="B2" s="2">
        <f>AVERAGE(B5:B22)</f>
        <v>0.5972222222222222</v>
      </c>
    </row>
    <row r="3" ht="14.25">
      <c r="B3" s="2">
        <f>AVERAGE(B23:B35)</f>
        <v>0.6909090909090909</v>
      </c>
    </row>
    <row r="4" spans="1:5" ht="14.25">
      <c r="A4" s="1" t="s">
        <v>0</v>
      </c>
      <c r="B4" s="2" t="s">
        <v>1</v>
      </c>
      <c r="C4" s="1" t="s">
        <v>2</v>
      </c>
      <c r="D4" s="1" t="s">
        <v>3</v>
      </c>
      <c r="E4" s="1" t="s">
        <v>4</v>
      </c>
    </row>
    <row r="5" spans="1:3" ht="14.25">
      <c r="A5" s="1" t="s">
        <v>5</v>
      </c>
      <c r="B5" s="2">
        <v>0.55</v>
      </c>
      <c r="C5" s="1" t="s">
        <v>6</v>
      </c>
    </row>
    <row r="6" spans="1:4" ht="14.25">
      <c r="A6" s="1" t="s">
        <v>5</v>
      </c>
      <c r="B6" s="2">
        <v>0.55</v>
      </c>
      <c r="C6" s="1" t="s">
        <v>7</v>
      </c>
      <c r="D6" s="1" t="s">
        <v>8</v>
      </c>
    </row>
    <row r="7" spans="1:5" ht="14.25">
      <c r="A7" s="1" t="s">
        <v>5</v>
      </c>
      <c r="B7" s="2">
        <v>0.9</v>
      </c>
      <c r="D7" s="1" t="s">
        <v>9</v>
      </c>
      <c r="E7" s="1" t="s">
        <v>9</v>
      </c>
    </row>
    <row r="8" spans="1:2" ht="14.25">
      <c r="A8" s="1" t="s">
        <v>5</v>
      </c>
      <c r="B8" s="2">
        <v>0.5</v>
      </c>
    </row>
    <row r="9" spans="1:4" ht="14.25">
      <c r="A9" s="1" t="s">
        <v>5</v>
      </c>
      <c r="B9" s="2">
        <v>0.6</v>
      </c>
      <c r="D9" s="1" t="s">
        <v>10</v>
      </c>
    </row>
    <row r="10" spans="1:5" ht="14.25">
      <c r="A10" s="1" t="s">
        <v>5</v>
      </c>
      <c r="B10" s="2">
        <v>0.7</v>
      </c>
      <c r="C10" s="1" t="s">
        <v>11</v>
      </c>
      <c r="D10" s="1" t="s">
        <v>12</v>
      </c>
      <c r="E10" s="1" t="s">
        <v>13</v>
      </c>
    </row>
    <row r="11" spans="1:2" ht="14.25">
      <c r="A11" s="1" t="s">
        <v>5</v>
      </c>
      <c r="B11" s="2">
        <v>0.5</v>
      </c>
    </row>
    <row r="12" spans="1:2" ht="14.25">
      <c r="A12" s="1" t="s">
        <v>5</v>
      </c>
      <c r="B12" s="2">
        <v>0.5</v>
      </c>
    </row>
    <row r="13" spans="1:5" ht="14.25">
      <c r="A13" s="1" t="s">
        <v>5</v>
      </c>
      <c r="B13" s="2">
        <v>0.6</v>
      </c>
      <c r="C13" s="1" t="s">
        <v>14</v>
      </c>
      <c r="D13" s="1" t="s">
        <v>15</v>
      </c>
      <c r="E13" s="1" t="s">
        <v>16</v>
      </c>
    </row>
    <row r="14" spans="1:4" ht="14.25">
      <c r="A14" s="1" t="s">
        <v>5</v>
      </c>
      <c r="B14" s="2">
        <v>0.5</v>
      </c>
      <c r="C14" s="1" t="s">
        <v>17</v>
      </c>
      <c r="D14" s="1" t="s">
        <v>18</v>
      </c>
    </row>
    <row r="15" spans="1:4" ht="14.25">
      <c r="A15" s="1" t="s">
        <v>5</v>
      </c>
      <c r="B15" s="2">
        <v>0.6</v>
      </c>
      <c r="C15" s="1" t="s">
        <v>19</v>
      </c>
      <c r="D15" s="1" t="s">
        <v>20</v>
      </c>
    </row>
    <row r="16" spans="1:2" ht="14.25">
      <c r="A16" s="1" t="s">
        <v>5</v>
      </c>
      <c r="B16" s="2">
        <v>0.6</v>
      </c>
    </row>
    <row r="17" spans="1:2" ht="14.25">
      <c r="A17" s="1" t="s">
        <v>5</v>
      </c>
      <c r="B17" s="2">
        <v>0.65</v>
      </c>
    </row>
    <row r="18" spans="1:4" ht="14.25">
      <c r="A18" s="1" t="s">
        <v>5</v>
      </c>
      <c r="B18" s="2">
        <v>0.6</v>
      </c>
      <c r="C18" s="1" t="s">
        <v>21</v>
      </c>
      <c r="D18" s="1" t="s">
        <v>22</v>
      </c>
    </row>
    <row r="19" spans="1:3" ht="14.25">
      <c r="A19" s="1" t="s">
        <v>5</v>
      </c>
      <c r="B19" s="2">
        <v>0.7</v>
      </c>
      <c r="C19" s="1" t="s">
        <v>23</v>
      </c>
    </row>
    <row r="20" spans="1:3" ht="14.25">
      <c r="A20" s="1" t="s">
        <v>5</v>
      </c>
      <c r="B20" s="2">
        <v>0.65</v>
      </c>
      <c r="C20" s="1" t="s">
        <v>24</v>
      </c>
    </row>
    <row r="21" spans="1:3" ht="14.25">
      <c r="A21" s="1" t="s">
        <v>5</v>
      </c>
      <c r="B21" s="2">
        <v>0.5</v>
      </c>
      <c r="C21" s="1" t="s">
        <v>25</v>
      </c>
    </row>
    <row r="22" spans="1:4" ht="14.25">
      <c r="A22" s="1" t="s">
        <v>5</v>
      </c>
      <c r="B22" s="2">
        <v>0.55</v>
      </c>
      <c r="C22" s="1" t="s">
        <v>26</v>
      </c>
      <c r="D22" s="1" t="s">
        <v>27</v>
      </c>
    </row>
    <row r="23" spans="1:2" ht="14.25">
      <c r="A23" s="1" t="s">
        <v>28</v>
      </c>
      <c r="B23" s="2">
        <v>1</v>
      </c>
    </row>
    <row r="24" spans="1:4" ht="14.25">
      <c r="A24" s="1" t="s">
        <v>28</v>
      </c>
      <c r="B24" s="2">
        <v>0.65</v>
      </c>
      <c r="C24" s="1" t="s">
        <v>29</v>
      </c>
      <c r="D24" s="1" t="s">
        <v>30</v>
      </c>
    </row>
    <row r="25" spans="1:2" ht="14.25">
      <c r="A25" s="1" t="s">
        <v>28</v>
      </c>
      <c r="B25" s="2">
        <v>0.7</v>
      </c>
    </row>
    <row r="26" spans="1:4" ht="14.25">
      <c r="A26" s="1" t="s">
        <v>28</v>
      </c>
      <c r="B26" s="2">
        <v>0.5</v>
      </c>
      <c r="C26" s="1" t="s">
        <v>31</v>
      </c>
      <c r="D26" s="1" t="s">
        <v>32</v>
      </c>
    </row>
    <row r="27" spans="1:5" ht="14.25">
      <c r="A27" s="1" t="s">
        <v>28</v>
      </c>
      <c r="B27" s="2">
        <v>0.65</v>
      </c>
      <c r="C27" s="1" t="s">
        <v>33</v>
      </c>
      <c r="D27" s="1" t="s">
        <v>34</v>
      </c>
      <c r="E27" s="1" t="s">
        <v>35</v>
      </c>
    </row>
    <row r="28" spans="1:4" ht="14.25">
      <c r="A28" s="1" t="s">
        <v>28</v>
      </c>
      <c r="B28" s="2">
        <v>0.6</v>
      </c>
      <c r="C28" s="1" t="s">
        <v>36</v>
      </c>
      <c r="D28" s="1" t="s">
        <v>37</v>
      </c>
    </row>
    <row r="29" spans="1:2" ht="14.25">
      <c r="A29" s="1" t="s">
        <v>28</v>
      </c>
      <c r="B29" s="2">
        <v>0.7</v>
      </c>
    </row>
    <row r="30" spans="1:2" ht="14.25">
      <c r="A30" s="1" t="s">
        <v>28</v>
      </c>
      <c r="B30" s="2">
        <v>0.5</v>
      </c>
    </row>
    <row r="31" spans="1:4" ht="14.25">
      <c r="A31" s="1" t="s">
        <v>28</v>
      </c>
      <c r="B31" s="2">
        <v>0.95</v>
      </c>
      <c r="C31" s="1" t="s">
        <v>38</v>
      </c>
      <c r="D31" s="1" t="s">
        <v>39</v>
      </c>
    </row>
    <row r="32" spans="1:2" ht="14.25">
      <c r="A32" s="1" t="s">
        <v>28</v>
      </c>
      <c r="B32" s="2">
        <v>0.6</v>
      </c>
    </row>
    <row r="33" spans="1:3" ht="14.25">
      <c r="A33" s="1" t="s">
        <v>28</v>
      </c>
      <c r="B33" s="2">
        <v>0.75</v>
      </c>
      <c r="C33" s="1" t="s">
        <v>40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264"/>
  <sheetViews>
    <sheetView tabSelected="1" zoomScale="75" zoomScaleNormal="75" workbookViewId="0" topLeftCell="A1">
      <pane ySplit="1420" topLeftCell="A242" activePane="bottomLeft" state="split"/>
      <selection pane="topLeft" activeCell="A1" sqref="A1"/>
      <selection pane="bottomLeft" activeCell="A265" sqref="A265"/>
    </sheetView>
  </sheetViews>
  <sheetFormatPr defaultColWidth="10.28125" defaultRowHeight="12.75"/>
  <cols>
    <col min="1" max="1" width="4.421875" style="3" customWidth="1"/>
    <col min="2" max="2" width="8.421875" style="4" customWidth="1"/>
    <col min="3" max="3" width="7.421875" style="5" customWidth="1"/>
    <col min="4" max="4" width="6.421875" style="5" customWidth="1"/>
    <col min="5" max="5" width="7.421875" style="6" customWidth="1"/>
    <col min="6" max="6" width="15.421875" style="5" customWidth="1"/>
    <col min="7" max="7" width="18.421875" style="5" customWidth="1"/>
    <col min="8" max="8" width="17.421875" style="5" customWidth="1"/>
    <col min="9" max="9" width="8.421875" style="7" customWidth="1"/>
    <col min="10" max="10" width="10.421875" style="7" customWidth="1"/>
    <col min="11" max="11" width="5.57421875" style="8" customWidth="1"/>
    <col min="12" max="12" width="7.00390625" style="9" customWidth="1"/>
    <col min="13" max="13" width="7.421875" style="3" customWidth="1"/>
    <col min="14" max="14" width="9.421875" style="3" customWidth="1"/>
    <col min="15" max="15" width="12.421875" style="3" customWidth="1"/>
    <col min="16" max="16" width="7.421875" style="10" customWidth="1"/>
    <col min="17" max="17" width="6.421875" style="6" customWidth="1"/>
    <col min="18" max="19" width="9.421875" style="11" customWidth="1"/>
    <col min="20" max="20" width="7.421875" style="12" customWidth="1"/>
    <col min="21" max="21" width="7.421875" style="13" customWidth="1"/>
    <col min="22" max="23" width="6.421875" style="6" customWidth="1"/>
    <col min="24" max="25" width="2.421875" style="3" customWidth="1"/>
    <col min="26" max="26" width="8.00390625" style="10" customWidth="1"/>
    <col min="27" max="27" width="7.421875" style="13" customWidth="1"/>
    <col min="28" max="28" width="14.140625" style="3" customWidth="1"/>
    <col min="29" max="16384" width="11.421875" style="3" customWidth="1"/>
  </cols>
  <sheetData>
    <row r="1" spans="2:27" s="14" customFormat="1" ht="14.25">
      <c r="B1" s="15" t="s">
        <v>41</v>
      </c>
      <c r="C1" s="15"/>
      <c r="D1" s="15"/>
      <c r="E1" s="15"/>
      <c r="F1" s="15"/>
      <c r="G1" s="15"/>
      <c r="H1" s="15"/>
      <c r="I1" s="15"/>
      <c r="J1" s="15"/>
      <c r="K1" s="16"/>
      <c r="L1" s="17"/>
      <c r="O1" s="18"/>
      <c r="P1" s="19"/>
      <c r="Q1" s="20"/>
      <c r="R1" s="21"/>
      <c r="S1" s="21"/>
      <c r="T1" s="22"/>
      <c r="U1" s="18"/>
      <c r="V1" s="20"/>
      <c r="W1" s="20"/>
      <c r="Z1" s="19">
        <f>COUNT(Z4:Z10000)</f>
        <v>77</v>
      </c>
      <c r="AA1" s="18"/>
    </row>
    <row r="2" spans="2:28" s="14" customFormat="1" ht="14.25">
      <c r="B2" s="23"/>
      <c r="C2" s="20"/>
      <c r="D2" s="20"/>
      <c r="E2" s="20"/>
      <c r="F2" s="20"/>
      <c r="G2" s="20"/>
      <c r="H2" s="20"/>
      <c r="I2" s="20"/>
      <c r="J2" s="20"/>
      <c r="K2" s="24"/>
      <c r="L2" s="25"/>
      <c r="N2" s="20">
        <f>AVERAGE(O4:O10000)</f>
        <v>0.5136186770428015</v>
      </c>
      <c r="O2" s="18"/>
      <c r="P2" s="19"/>
      <c r="Q2" s="20"/>
      <c r="R2" s="21"/>
      <c r="S2" s="21"/>
      <c r="T2" s="22"/>
      <c r="U2" s="18"/>
      <c r="V2" s="20"/>
      <c r="W2" s="20"/>
      <c r="Z2" s="26">
        <f>1-Z3</f>
        <v>0.48051948051948057</v>
      </c>
      <c r="AA2" s="18"/>
      <c r="AB2" s="14" t="s">
        <v>42</v>
      </c>
    </row>
    <row r="3" spans="2:28" s="14" customFormat="1" ht="14.25">
      <c r="B3" s="23" t="s">
        <v>43</v>
      </c>
      <c r="C3" s="20" t="s">
        <v>5</v>
      </c>
      <c r="D3" s="20" t="s">
        <v>28</v>
      </c>
      <c r="E3" s="20" t="s">
        <v>44</v>
      </c>
      <c r="F3" s="20" t="s">
        <v>45</v>
      </c>
      <c r="G3" s="20" t="s">
        <v>46</v>
      </c>
      <c r="H3" s="20" t="s">
        <v>47</v>
      </c>
      <c r="I3" s="20" t="s">
        <v>48</v>
      </c>
      <c r="J3" s="20" t="s">
        <v>49</v>
      </c>
      <c r="K3" s="24" t="s">
        <v>50</v>
      </c>
      <c r="L3" s="25"/>
      <c r="M3" s="14" t="s">
        <v>51</v>
      </c>
      <c r="N3" s="14" t="s">
        <v>52</v>
      </c>
      <c r="O3" s="27" t="s">
        <v>53</v>
      </c>
      <c r="P3" s="19" t="s">
        <v>51</v>
      </c>
      <c r="Q3" s="20" t="s">
        <v>54</v>
      </c>
      <c r="R3" s="21"/>
      <c r="S3" s="21"/>
      <c r="T3" s="22"/>
      <c r="U3" s="18">
        <f>AVERAGE(U4:U10000)</f>
        <v>0.0016391192371766916</v>
      </c>
      <c r="V3" s="28" t="s">
        <v>55</v>
      </c>
      <c r="W3" s="28" t="s">
        <v>56</v>
      </c>
      <c r="Z3" s="26">
        <f>AVERAGE(Z4:Z10000)</f>
        <v>0.5194805194805194</v>
      </c>
      <c r="AA3" s="18">
        <f>AVERAGE(AA4:AA10000)</f>
        <v>-0.0011828280506250412</v>
      </c>
      <c r="AB3" s="14" t="s">
        <v>57</v>
      </c>
    </row>
    <row r="4" spans="1:27" ht="14.25">
      <c r="A4" s="3">
        <f aca="true" t="shared" si="0" ref="A4:A7">A5-1</f>
        <v>1</v>
      </c>
      <c r="B4" s="29">
        <v>41547</v>
      </c>
      <c r="C4" s="5">
        <v>0.5778</v>
      </c>
      <c r="D4" s="5">
        <v>0.4222</v>
      </c>
      <c r="E4" s="6">
        <f aca="true" t="shared" si="1" ref="E4:E264">C4-D4</f>
        <v>0.15559999999999996</v>
      </c>
      <c r="F4" s="5">
        <v>0.678</v>
      </c>
      <c r="G4" s="5">
        <v>0.677</v>
      </c>
      <c r="H4" s="5">
        <v>0.681</v>
      </c>
      <c r="I4" s="6">
        <f aca="true" t="shared" si="2" ref="I4:I264">G4-H4</f>
        <v>-0.0040000000000000036</v>
      </c>
      <c r="J4" s="6">
        <f aca="true" t="shared" si="3" ref="J4:J24">IF(C4&gt;D4,"Higher","Lower")</f>
        <v>0</v>
      </c>
      <c r="M4" s="3">
        <f aca="true" t="shared" si="4" ref="M4:M263">IF(P4=1,"Higher","Lower")</f>
        <v>0</v>
      </c>
      <c r="N4" s="30">
        <f aca="true" t="shared" si="5" ref="N4:N24">IF(J4=M4,"Yes","No")</f>
        <v>0</v>
      </c>
      <c r="O4" s="3">
        <f aca="true" t="shared" si="6" ref="O4:O24">IF(N4="Yes",1,0)</f>
        <v>0</v>
      </c>
      <c r="P4" s="10">
        <f aca="true" t="shared" si="7" ref="P4:P263">IF(T4&gt;0,1,0)</f>
        <v>0</v>
      </c>
      <c r="R4" s="11">
        <v>15249.8</v>
      </c>
      <c r="S4" s="11">
        <v>15072.6</v>
      </c>
      <c r="T4" s="12">
        <f aca="true" t="shared" si="8" ref="T4:T263">S4-R4</f>
        <v>-177.1999999999989</v>
      </c>
      <c r="U4" s="13">
        <f aca="true" t="shared" si="9" ref="U4:U263">T4/R4</f>
        <v>-0.011619824522288746</v>
      </c>
      <c r="X4" s="3">
        <f aca="true" t="shared" si="10" ref="X4:X264">IF(AND(E4&gt;0,E4&gt;0),1,0)</f>
        <v>1</v>
      </c>
      <c r="Y4" s="3">
        <f aca="true" t="shared" si="11" ref="Y4:Y264">IF(AND(I4&lt;0,I4&lt;0),1,0)</f>
        <v>1</v>
      </c>
      <c r="Z4" s="10">
        <f aca="true" t="shared" si="12" ref="Z4:Z263">IF(SUM(X4:Y4)=2,P4,"")</f>
        <v>0</v>
      </c>
      <c r="AA4" s="13">
        <f aca="true" t="shared" si="13" ref="AA4:AA263">IF(SUM(X4:Y4)=2,U4,"")</f>
        <v>-0.011619824522288746</v>
      </c>
    </row>
    <row r="5" spans="1:27" ht="14.25">
      <c r="A5" s="3">
        <f t="shared" si="0"/>
        <v>2</v>
      </c>
      <c r="B5" s="29">
        <v>41554</v>
      </c>
      <c r="C5" s="5">
        <v>0.5565</v>
      </c>
      <c r="D5" s="5">
        <v>0.4444</v>
      </c>
      <c r="E5" s="6">
        <f t="shared" si="1"/>
        <v>0.11209999999999998</v>
      </c>
      <c r="F5" s="5">
        <v>0.713</v>
      </c>
      <c r="G5" s="5">
        <v>0.773</v>
      </c>
      <c r="H5" s="5">
        <v>0.638</v>
      </c>
      <c r="I5" s="6">
        <f t="shared" si="2"/>
        <v>0.135</v>
      </c>
      <c r="J5" s="6">
        <f t="shared" si="3"/>
        <v>0</v>
      </c>
      <c r="M5" s="3">
        <f t="shared" si="4"/>
        <v>0</v>
      </c>
      <c r="N5" s="30">
        <f t="shared" si="5"/>
        <v>0</v>
      </c>
      <c r="O5" s="3">
        <f t="shared" si="6"/>
        <v>1</v>
      </c>
      <c r="P5" s="10">
        <f t="shared" si="7"/>
        <v>1</v>
      </c>
      <c r="Q5" s="6">
        <f aca="true" t="shared" si="14" ref="Q5:Q263">AVERAGE(O$4:O5)</f>
        <v>0.5</v>
      </c>
      <c r="R5" s="11">
        <v>15069.3</v>
      </c>
      <c r="S5" s="11">
        <v>15237.1</v>
      </c>
      <c r="T5" s="12">
        <f t="shared" si="8"/>
        <v>167.8000000000011</v>
      </c>
      <c r="U5" s="13">
        <f t="shared" si="9"/>
        <v>0.011135221941297943</v>
      </c>
      <c r="X5" s="3">
        <f t="shared" si="10"/>
        <v>1</v>
      </c>
      <c r="Y5" s="3">
        <f t="shared" si="11"/>
        <v>0</v>
      </c>
      <c r="Z5" s="10">
        <f t="shared" si="12"/>
        <v>0</v>
      </c>
      <c r="AA5" s="13">
        <f t="shared" si="13"/>
        <v>0</v>
      </c>
    </row>
    <row r="6" spans="1:27" ht="14.25">
      <c r="A6" s="3">
        <f t="shared" si="0"/>
        <v>3</v>
      </c>
      <c r="B6" s="29">
        <v>41561</v>
      </c>
      <c r="C6" s="5">
        <v>0.5667</v>
      </c>
      <c r="D6" s="5">
        <v>0.4333</v>
      </c>
      <c r="E6" s="6">
        <f t="shared" si="1"/>
        <v>0.13339999999999996</v>
      </c>
      <c r="F6" s="5">
        <v>0.63</v>
      </c>
      <c r="G6" s="5">
        <v>0.65</v>
      </c>
      <c r="H6" s="5">
        <v>0.61</v>
      </c>
      <c r="I6" s="6">
        <f t="shared" si="2"/>
        <v>0.040000000000000036</v>
      </c>
      <c r="J6" s="6">
        <f t="shared" si="3"/>
        <v>0</v>
      </c>
      <c r="M6" s="3">
        <f t="shared" si="4"/>
        <v>0</v>
      </c>
      <c r="N6" s="30">
        <f t="shared" si="5"/>
        <v>0</v>
      </c>
      <c r="O6" s="3">
        <f t="shared" si="6"/>
        <v>1</v>
      </c>
      <c r="P6" s="10">
        <f t="shared" si="7"/>
        <v>1</v>
      </c>
      <c r="Q6" s="6">
        <f t="shared" si="14"/>
        <v>0.6666666666666666</v>
      </c>
      <c r="R6" s="11">
        <v>15231.3</v>
      </c>
      <c r="S6" s="11">
        <v>15399.7</v>
      </c>
      <c r="T6" s="12">
        <f t="shared" si="8"/>
        <v>168.40000000000146</v>
      </c>
      <c r="U6" s="13">
        <f t="shared" si="9"/>
        <v>0.011056180365431805</v>
      </c>
      <c r="X6" s="3">
        <f t="shared" si="10"/>
        <v>1</v>
      </c>
      <c r="Y6" s="3">
        <f t="shared" si="11"/>
        <v>0</v>
      </c>
      <c r="Z6" s="10">
        <f t="shared" si="12"/>
        <v>0</v>
      </c>
      <c r="AA6" s="13">
        <f t="shared" si="13"/>
        <v>0</v>
      </c>
    </row>
    <row r="7" spans="1:27" ht="14.25">
      <c r="A7" s="3">
        <f t="shared" si="0"/>
        <v>4</v>
      </c>
      <c r="B7" s="29">
        <v>41568</v>
      </c>
      <c r="C7" s="5">
        <v>0.6667000000000001</v>
      </c>
      <c r="D7" s="5">
        <v>0.33330000000000004</v>
      </c>
      <c r="E7" s="6">
        <f t="shared" si="1"/>
        <v>0.33340000000000003</v>
      </c>
      <c r="F7" s="5">
        <v>0.56</v>
      </c>
      <c r="G7" s="5">
        <v>0.59</v>
      </c>
      <c r="H7" s="5">
        <v>0.5</v>
      </c>
      <c r="I7" s="6">
        <f t="shared" si="2"/>
        <v>0.08999999999999997</v>
      </c>
      <c r="J7" s="6">
        <f t="shared" si="3"/>
        <v>0</v>
      </c>
      <c r="M7" s="3">
        <f t="shared" si="4"/>
        <v>0</v>
      </c>
      <c r="N7" s="30">
        <f t="shared" si="5"/>
        <v>0</v>
      </c>
      <c r="O7" s="3">
        <f t="shared" si="6"/>
        <v>1</v>
      </c>
      <c r="P7" s="10">
        <f t="shared" si="7"/>
        <v>1</v>
      </c>
      <c r="Q7" s="6">
        <f t="shared" si="14"/>
        <v>0.75</v>
      </c>
      <c r="R7" s="11">
        <v>15401.3</v>
      </c>
      <c r="S7" s="11">
        <v>15570.3</v>
      </c>
      <c r="T7" s="12">
        <f t="shared" si="8"/>
        <v>169</v>
      </c>
      <c r="U7" s="13">
        <f t="shared" si="9"/>
        <v>0.010973099673404194</v>
      </c>
      <c r="X7" s="3">
        <f t="shared" si="10"/>
        <v>1</v>
      </c>
      <c r="Y7" s="3">
        <f t="shared" si="11"/>
        <v>0</v>
      </c>
      <c r="Z7" s="10">
        <f t="shared" si="12"/>
        <v>0</v>
      </c>
      <c r="AA7" s="13">
        <f t="shared" si="13"/>
        <v>0</v>
      </c>
    </row>
    <row r="8" spans="1:27" ht="14.25">
      <c r="A8" s="3">
        <v>5</v>
      </c>
      <c r="B8" s="29">
        <v>41575</v>
      </c>
      <c r="C8" s="5">
        <v>0.6538</v>
      </c>
      <c r="D8" s="5">
        <v>0.3462</v>
      </c>
      <c r="E8" s="6">
        <f t="shared" si="1"/>
        <v>0.30760000000000004</v>
      </c>
      <c r="F8" s="5">
        <v>0.6</v>
      </c>
      <c r="G8" s="5">
        <v>0.625</v>
      </c>
      <c r="H8" s="5">
        <v>0.556</v>
      </c>
      <c r="I8" s="6">
        <f t="shared" si="2"/>
        <v>0.06899999999999995</v>
      </c>
      <c r="J8" s="6">
        <f t="shared" si="3"/>
        <v>0</v>
      </c>
      <c r="M8" s="3">
        <f t="shared" si="4"/>
        <v>0</v>
      </c>
      <c r="N8" s="30">
        <f t="shared" si="5"/>
        <v>0</v>
      </c>
      <c r="O8" s="3">
        <f t="shared" si="6"/>
        <v>1</v>
      </c>
      <c r="P8" s="10">
        <f t="shared" si="7"/>
        <v>1</v>
      </c>
      <c r="Q8" s="6">
        <f t="shared" si="14"/>
        <v>0.8</v>
      </c>
      <c r="R8" s="11">
        <v>15569.2</v>
      </c>
      <c r="S8" s="11">
        <v>15615.55</v>
      </c>
      <c r="T8" s="12">
        <f t="shared" si="8"/>
        <v>46.349999999998545</v>
      </c>
      <c r="U8" s="13">
        <f t="shared" si="9"/>
        <v>0.002977031575161122</v>
      </c>
      <c r="X8" s="3">
        <f t="shared" si="10"/>
        <v>1</v>
      </c>
      <c r="Y8" s="3">
        <f t="shared" si="11"/>
        <v>0</v>
      </c>
      <c r="Z8" s="10">
        <f t="shared" si="12"/>
        <v>0</v>
      </c>
      <c r="AA8" s="13">
        <f t="shared" si="13"/>
        <v>0</v>
      </c>
    </row>
    <row r="9" spans="1:27" ht="14.25">
      <c r="A9" s="3">
        <f aca="true" t="shared" si="15" ref="A9:A22">A10-1</f>
        <v>7</v>
      </c>
      <c r="B9" s="29">
        <v>41589</v>
      </c>
      <c r="C9" s="5">
        <v>0.5385</v>
      </c>
      <c r="D9" s="5">
        <v>0.4615</v>
      </c>
      <c r="E9" s="6">
        <f t="shared" si="1"/>
        <v>0.07699999999999996</v>
      </c>
      <c r="F9" s="5">
        <v>0.715</v>
      </c>
      <c r="G9" s="5">
        <v>0.729</v>
      </c>
      <c r="H9" s="5">
        <v>0.7</v>
      </c>
      <c r="I9" s="6">
        <f t="shared" si="2"/>
        <v>0.029000000000000026</v>
      </c>
      <c r="J9" s="6">
        <f t="shared" si="3"/>
        <v>0</v>
      </c>
      <c r="M9" s="3">
        <f t="shared" si="4"/>
        <v>0</v>
      </c>
      <c r="N9" s="30">
        <f t="shared" si="5"/>
        <v>0</v>
      </c>
      <c r="O9" s="3">
        <f t="shared" si="6"/>
        <v>1</v>
      </c>
      <c r="P9" s="10">
        <f t="shared" si="7"/>
        <v>1</v>
      </c>
      <c r="Q9" s="6">
        <f t="shared" si="14"/>
        <v>0.8333333333333334</v>
      </c>
      <c r="R9" s="11">
        <v>1769.96</v>
      </c>
      <c r="S9" s="11">
        <v>1798.18</v>
      </c>
      <c r="T9" s="12">
        <f t="shared" si="8"/>
        <v>28.220000000000027</v>
      </c>
      <c r="U9" s="13">
        <f t="shared" si="9"/>
        <v>0.01594386313815003</v>
      </c>
      <c r="X9" s="3">
        <f t="shared" si="10"/>
        <v>1</v>
      </c>
      <c r="Y9" s="3">
        <f t="shared" si="11"/>
        <v>0</v>
      </c>
      <c r="Z9" s="10">
        <f t="shared" si="12"/>
        <v>0</v>
      </c>
      <c r="AA9" s="13">
        <f t="shared" si="13"/>
        <v>0</v>
      </c>
    </row>
    <row r="10" spans="1:27" ht="14.25">
      <c r="A10" s="3">
        <f t="shared" si="15"/>
        <v>8</v>
      </c>
      <c r="B10" s="29">
        <v>41596</v>
      </c>
      <c r="C10" s="5">
        <v>0.6842</v>
      </c>
      <c r="D10" s="5">
        <v>0.3158</v>
      </c>
      <c r="E10" s="6">
        <f t="shared" si="1"/>
        <v>0.3684</v>
      </c>
      <c r="F10" s="5">
        <v>0.6</v>
      </c>
      <c r="G10" s="5">
        <v>0.639</v>
      </c>
      <c r="H10" s="5">
        <v>0.5</v>
      </c>
      <c r="I10" s="6">
        <f t="shared" si="2"/>
        <v>0.139</v>
      </c>
      <c r="J10" s="6">
        <f t="shared" si="3"/>
        <v>0</v>
      </c>
      <c r="M10" s="3">
        <f t="shared" si="4"/>
        <v>0</v>
      </c>
      <c r="N10" s="30">
        <f t="shared" si="5"/>
        <v>0</v>
      </c>
      <c r="O10" s="3">
        <f t="shared" si="6"/>
        <v>1</v>
      </c>
      <c r="P10" s="10">
        <f t="shared" si="7"/>
        <v>1</v>
      </c>
      <c r="Q10" s="6">
        <f t="shared" si="14"/>
        <v>0.8571428571428571</v>
      </c>
      <c r="R10" s="11">
        <v>1798.82</v>
      </c>
      <c r="S10" s="11">
        <v>1804.76</v>
      </c>
      <c r="T10" s="12">
        <f t="shared" si="8"/>
        <v>5.940000000000055</v>
      </c>
      <c r="U10" s="13">
        <f t="shared" si="9"/>
        <v>0.0033021647524488582</v>
      </c>
      <c r="X10" s="3">
        <f t="shared" si="10"/>
        <v>1</v>
      </c>
      <c r="Y10" s="3">
        <f t="shared" si="11"/>
        <v>0</v>
      </c>
      <c r="Z10" s="10">
        <f t="shared" si="12"/>
        <v>0</v>
      </c>
      <c r="AA10" s="13">
        <f t="shared" si="13"/>
        <v>0</v>
      </c>
    </row>
    <row r="11" spans="1:27" ht="14.25">
      <c r="A11" s="3">
        <f t="shared" si="15"/>
        <v>9</v>
      </c>
      <c r="B11" s="29">
        <v>41603</v>
      </c>
      <c r="C11" s="5">
        <v>0.5385</v>
      </c>
      <c r="D11" s="5">
        <v>0.4615</v>
      </c>
      <c r="E11" s="6">
        <f t="shared" si="1"/>
        <v>0.07699999999999996</v>
      </c>
      <c r="F11" s="5">
        <v>0.5750000000000001</v>
      </c>
      <c r="G11" s="5">
        <v>0.583</v>
      </c>
      <c r="H11" s="5">
        <v>0.5670000000000001</v>
      </c>
      <c r="I11" s="6">
        <f t="shared" si="2"/>
        <v>0.015999999999999903</v>
      </c>
      <c r="J11" s="6">
        <f t="shared" si="3"/>
        <v>0</v>
      </c>
      <c r="M11" s="3">
        <f t="shared" si="4"/>
        <v>0</v>
      </c>
      <c r="N11" s="30">
        <f t="shared" si="5"/>
        <v>0</v>
      </c>
      <c r="O11" s="3">
        <f t="shared" si="6"/>
        <v>0</v>
      </c>
      <c r="P11" s="10">
        <f t="shared" si="7"/>
        <v>0</v>
      </c>
      <c r="Q11" s="6">
        <f t="shared" si="14"/>
        <v>0.75</v>
      </c>
      <c r="R11" s="11">
        <v>1806.33</v>
      </c>
      <c r="S11" s="11">
        <v>1805.81</v>
      </c>
      <c r="T11" s="12">
        <f t="shared" si="8"/>
        <v>-0.5199999999999818</v>
      </c>
      <c r="U11" s="13">
        <f t="shared" si="9"/>
        <v>-0.00028787652311592114</v>
      </c>
      <c r="X11" s="3">
        <f t="shared" si="10"/>
        <v>1</v>
      </c>
      <c r="Y11" s="3">
        <f t="shared" si="11"/>
        <v>0</v>
      </c>
      <c r="Z11" s="10">
        <f t="shared" si="12"/>
        <v>0</v>
      </c>
      <c r="AA11" s="13">
        <f t="shared" si="13"/>
        <v>0</v>
      </c>
    </row>
    <row r="12" spans="1:27" ht="14.25">
      <c r="A12" s="3">
        <f t="shared" si="15"/>
        <v>10</v>
      </c>
      <c r="B12" s="29">
        <v>41610</v>
      </c>
      <c r="C12" s="5">
        <v>0.6667000000000001</v>
      </c>
      <c r="D12" s="5">
        <v>0.33330000000000004</v>
      </c>
      <c r="E12" s="6">
        <f t="shared" si="1"/>
        <v>0.33340000000000003</v>
      </c>
      <c r="F12" s="5">
        <v>0.556</v>
      </c>
      <c r="G12" s="5">
        <v>0.608</v>
      </c>
      <c r="H12" s="5">
        <v>0.45</v>
      </c>
      <c r="I12" s="6">
        <f t="shared" si="2"/>
        <v>0.15799999999999997</v>
      </c>
      <c r="J12" s="6">
        <f t="shared" si="3"/>
        <v>0</v>
      </c>
      <c r="M12" s="3">
        <f t="shared" si="4"/>
        <v>0</v>
      </c>
      <c r="N12" s="30">
        <f t="shared" si="5"/>
        <v>0</v>
      </c>
      <c r="O12" s="3">
        <f t="shared" si="6"/>
        <v>0</v>
      </c>
      <c r="P12" s="10">
        <f t="shared" si="7"/>
        <v>0</v>
      </c>
      <c r="Q12" s="6">
        <f t="shared" si="14"/>
        <v>0.6666666666666666</v>
      </c>
      <c r="R12" s="11">
        <v>1806.55</v>
      </c>
      <c r="S12" s="11">
        <v>1805.09</v>
      </c>
      <c r="T12" s="12">
        <f t="shared" si="8"/>
        <v>-1.4600000000000364</v>
      </c>
      <c r="U12" s="13">
        <f t="shared" si="9"/>
        <v>-0.0008081702692978531</v>
      </c>
      <c r="X12" s="3">
        <f t="shared" si="10"/>
        <v>1</v>
      </c>
      <c r="Y12" s="3">
        <f t="shared" si="11"/>
        <v>0</v>
      </c>
      <c r="Z12" s="10">
        <f t="shared" si="12"/>
        <v>0</v>
      </c>
      <c r="AA12" s="13">
        <f t="shared" si="13"/>
        <v>0</v>
      </c>
    </row>
    <row r="13" spans="1:27" ht="14.25">
      <c r="A13" s="3">
        <f t="shared" si="15"/>
        <v>11</v>
      </c>
      <c r="B13" s="29">
        <v>41617</v>
      </c>
      <c r="C13" s="5">
        <v>0.6154000000000001</v>
      </c>
      <c r="D13" s="5">
        <v>0.3846</v>
      </c>
      <c r="E13" s="6">
        <f t="shared" si="1"/>
        <v>0.23080000000000006</v>
      </c>
      <c r="F13" s="5">
        <v>0.577</v>
      </c>
      <c r="G13" s="5">
        <v>0.588</v>
      </c>
      <c r="H13" s="5">
        <v>0.56</v>
      </c>
      <c r="I13" s="6">
        <f t="shared" si="2"/>
        <v>0.027999999999999914</v>
      </c>
      <c r="J13" s="6">
        <f t="shared" si="3"/>
        <v>0</v>
      </c>
      <c r="M13" s="3">
        <f t="shared" si="4"/>
        <v>0</v>
      </c>
      <c r="N13" s="30">
        <f t="shared" si="5"/>
        <v>0</v>
      </c>
      <c r="O13" s="3">
        <f t="shared" si="6"/>
        <v>0</v>
      </c>
      <c r="P13" s="10">
        <f t="shared" si="7"/>
        <v>0</v>
      </c>
      <c r="Q13" s="6">
        <f t="shared" si="14"/>
        <v>0.6</v>
      </c>
      <c r="R13" s="11">
        <v>1806.21</v>
      </c>
      <c r="S13" s="11">
        <v>1775.32</v>
      </c>
      <c r="T13" s="12">
        <f t="shared" si="8"/>
        <v>-30.8900000000001</v>
      </c>
      <c r="U13" s="13">
        <f t="shared" si="9"/>
        <v>-0.01710210883562825</v>
      </c>
      <c r="X13" s="3">
        <f t="shared" si="10"/>
        <v>1</v>
      </c>
      <c r="Y13" s="3">
        <f t="shared" si="11"/>
        <v>0</v>
      </c>
      <c r="Z13" s="10">
        <f t="shared" si="12"/>
        <v>0</v>
      </c>
      <c r="AA13" s="13">
        <f t="shared" si="13"/>
        <v>0</v>
      </c>
    </row>
    <row r="14" spans="1:27" ht="14.25">
      <c r="A14" s="3">
        <f t="shared" si="15"/>
        <v>12</v>
      </c>
      <c r="B14" s="29">
        <v>41624</v>
      </c>
      <c r="C14" s="5">
        <v>0.5333</v>
      </c>
      <c r="D14" s="5">
        <v>0.4667</v>
      </c>
      <c r="E14" s="6">
        <f t="shared" si="1"/>
        <v>0.06659999999999999</v>
      </c>
      <c r="F14" s="5">
        <v>0.653</v>
      </c>
      <c r="G14" s="5">
        <v>0.675</v>
      </c>
      <c r="H14" s="5">
        <v>0.629</v>
      </c>
      <c r="I14" s="6">
        <f t="shared" si="2"/>
        <v>0.04600000000000004</v>
      </c>
      <c r="J14" s="6">
        <f t="shared" si="3"/>
        <v>0</v>
      </c>
      <c r="M14" s="3">
        <f t="shared" si="4"/>
        <v>0</v>
      </c>
      <c r="N14" s="30">
        <f t="shared" si="5"/>
        <v>0</v>
      </c>
      <c r="O14" s="3">
        <f t="shared" si="6"/>
        <v>1</v>
      </c>
      <c r="P14" s="10">
        <f t="shared" si="7"/>
        <v>1</v>
      </c>
      <c r="Q14" s="6">
        <f t="shared" si="14"/>
        <v>0.6363636363636364</v>
      </c>
      <c r="R14" s="11">
        <v>1777.48</v>
      </c>
      <c r="S14" s="11">
        <v>1818.32</v>
      </c>
      <c r="T14" s="12">
        <f t="shared" si="8"/>
        <v>40.83999999999992</v>
      </c>
      <c r="U14" s="13">
        <f t="shared" si="9"/>
        <v>0.022976348538380133</v>
      </c>
      <c r="V14" s="6">
        <f aca="true" t="shared" si="16" ref="V14:V263">AVERAGE(O4:O14)</f>
        <v>0.6363636363636364</v>
      </c>
      <c r="X14" s="3">
        <f t="shared" si="10"/>
        <v>1</v>
      </c>
      <c r="Y14" s="3">
        <f t="shared" si="11"/>
        <v>0</v>
      </c>
      <c r="Z14" s="10">
        <f t="shared" si="12"/>
        <v>0</v>
      </c>
      <c r="AA14" s="13">
        <f t="shared" si="13"/>
        <v>0</v>
      </c>
    </row>
    <row r="15" spans="1:27" ht="14.25">
      <c r="A15" s="3">
        <f t="shared" si="15"/>
        <v>13</v>
      </c>
      <c r="B15" s="29">
        <v>41631</v>
      </c>
      <c r="C15" s="5">
        <v>0.625</v>
      </c>
      <c r="D15" s="5">
        <v>0.375</v>
      </c>
      <c r="E15" s="6">
        <f t="shared" si="1"/>
        <v>0.25</v>
      </c>
      <c r="F15" s="5">
        <v>0.608</v>
      </c>
      <c r="G15" s="5">
        <v>0.667</v>
      </c>
      <c r="H15" s="5">
        <v>0.511</v>
      </c>
      <c r="I15" s="6">
        <f t="shared" si="2"/>
        <v>0.15600000000000003</v>
      </c>
      <c r="J15" s="6">
        <f t="shared" si="3"/>
        <v>0</v>
      </c>
      <c r="M15" s="3">
        <f t="shared" si="4"/>
        <v>0</v>
      </c>
      <c r="N15" s="30">
        <f t="shared" si="5"/>
        <v>0</v>
      </c>
      <c r="O15" s="3">
        <f t="shared" si="6"/>
        <v>1</v>
      </c>
      <c r="P15" s="10">
        <f t="shared" si="7"/>
        <v>1</v>
      </c>
      <c r="Q15" s="6">
        <f t="shared" si="14"/>
        <v>0.6666666666666666</v>
      </c>
      <c r="R15" s="11">
        <v>1822.92</v>
      </c>
      <c r="S15" s="11">
        <v>1841.4</v>
      </c>
      <c r="T15" s="12">
        <f t="shared" si="8"/>
        <v>18.480000000000018</v>
      </c>
      <c r="U15" s="13">
        <f t="shared" si="9"/>
        <v>0.010137581462708193</v>
      </c>
      <c r="V15" s="6">
        <f t="shared" si="16"/>
        <v>0.7272727272727273</v>
      </c>
      <c r="X15" s="3">
        <f t="shared" si="10"/>
        <v>1</v>
      </c>
      <c r="Y15" s="3">
        <f t="shared" si="11"/>
        <v>0</v>
      </c>
      <c r="Z15" s="10">
        <f t="shared" si="12"/>
        <v>0</v>
      </c>
      <c r="AA15" s="13">
        <f t="shared" si="13"/>
        <v>0</v>
      </c>
    </row>
    <row r="16" spans="1:27" ht="14.25">
      <c r="A16" s="3">
        <f t="shared" si="15"/>
        <v>14</v>
      </c>
      <c r="B16" s="29">
        <v>41638</v>
      </c>
      <c r="C16" s="5">
        <v>0.5832999999999999</v>
      </c>
      <c r="D16" s="5">
        <v>0.4167</v>
      </c>
      <c r="E16" s="6">
        <f t="shared" si="1"/>
        <v>0.16659999999999991</v>
      </c>
      <c r="F16" s="5">
        <v>0.642</v>
      </c>
      <c r="G16" s="5">
        <v>0.686</v>
      </c>
      <c r="H16" s="5">
        <v>0.58</v>
      </c>
      <c r="I16" s="6">
        <f t="shared" si="2"/>
        <v>0.1060000000000001</v>
      </c>
      <c r="J16" s="6">
        <f t="shared" si="3"/>
        <v>0</v>
      </c>
      <c r="M16" s="3">
        <f t="shared" si="4"/>
        <v>0</v>
      </c>
      <c r="N16" s="30">
        <f t="shared" si="5"/>
        <v>0</v>
      </c>
      <c r="O16" s="3">
        <f t="shared" si="6"/>
        <v>0</v>
      </c>
      <c r="P16" s="10">
        <f t="shared" si="7"/>
        <v>0</v>
      </c>
      <c r="Q16" s="6">
        <f t="shared" si="14"/>
        <v>0.6153846153846154</v>
      </c>
      <c r="R16" s="11">
        <v>1841.47</v>
      </c>
      <c r="S16" s="11">
        <v>1831.37</v>
      </c>
      <c r="T16" s="12">
        <f t="shared" si="8"/>
        <v>-10.100000000000136</v>
      </c>
      <c r="U16" s="13">
        <f t="shared" si="9"/>
        <v>-0.005484748597587871</v>
      </c>
      <c r="V16" s="6">
        <f t="shared" si="16"/>
        <v>0.6363636363636364</v>
      </c>
      <c r="X16" s="3">
        <f t="shared" si="10"/>
        <v>1</v>
      </c>
      <c r="Y16" s="3">
        <f t="shared" si="11"/>
        <v>0</v>
      </c>
      <c r="Z16" s="10">
        <f t="shared" si="12"/>
        <v>0</v>
      </c>
      <c r="AA16" s="13">
        <f t="shared" si="13"/>
        <v>0</v>
      </c>
    </row>
    <row r="17" spans="1:27" ht="14.25">
      <c r="A17" s="3">
        <f t="shared" si="15"/>
        <v>15</v>
      </c>
      <c r="B17" s="29">
        <v>41645</v>
      </c>
      <c r="C17" s="5">
        <v>0.4706</v>
      </c>
      <c r="D17" s="5">
        <v>0.5294</v>
      </c>
      <c r="E17" s="6">
        <f t="shared" si="1"/>
        <v>-0.05879999999999996</v>
      </c>
      <c r="F17" s="5">
        <v>0.64</v>
      </c>
      <c r="G17" s="5">
        <v>0.638</v>
      </c>
      <c r="H17" s="5">
        <v>0.643</v>
      </c>
      <c r="I17" s="6">
        <f t="shared" si="2"/>
        <v>-0.0050000000000000044</v>
      </c>
      <c r="J17" s="6">
        <f t="shared" si="3"/>
        <v>0</v>
      </c>
      <c r="M17" s="3">
        <f t="shared" si="4"/>
        <v>0</v>
      </c>
      <c r="N17" s="30">
        <f t="shared" si="5"/>
        <v>0</v>
      </c>
      <c r="O17" s="3">
        <f t="shared" si="6"/>
        <v>0</v>
      </c>
      <c r="P17" s="10">
        <f t="shared" si="7"/>
        <v>1</v>
      </c>
      <c r="Q17" s="6">
        <f t="shared" si="14"/>
        <v>0.5714285714285714</v>
      </c>
      <c r="R17" s="11">
        <v>1832.31</v>
      </c>
      <c r="S17" s="11">
        <v>1842.37</v>
      </c>
      <c r="T17" s="12">
        <f t="shared" si="8"/>
        <v>10.059999999999945</v>
      </c>
      <c r="U17" s="13">
        <f t="shared" si="9"/>
        <v>0.005490337333748081</v>
      </c>
      <c r="V17" s="6">
        <f t="shared" si="16"/>
        <v>0.5454545454545454</v>
      </c>
      <c r="X17" s="3">
        <f t="shared" si="10"/>
        <v>0</v>
      </c>
      <c r="Y17" s="3">
        <f t="shared" si="11"/>
        <v>1</v>
      </c>
      <c r="Z17" s="10">
        <f t="shared" si="12"/>
        <v>0</v>
      </c>
      <c r="AA17" s="13">
        <f t="shared" si="13"/>
        <v>0</v>
      </c>
    </row>
    <row r="18" spans="1:27" ht="14.25">
      <c r="A18" s="3">
        <f t="shared" si="15"/>
        <v>16</v>
      </c>
      <c r="B18" s="29">
        <v>41652</v>
      </c>
      <c r="C18" s="5">
        <v>0.667</v>
      </c>
      <c r="D18" s="5">
        <v>0.33299999999999996</v>
      </c>
      <c r="E18" s="6">
        <f t="shared" si="1"/>
        <v>0.3340000000000001</v>
      </c>
      <c r="F18" s="5">
        <v>0.613</v>
      </c>
      <c r="G18" s="5">
        <v>0.64</v>
      </c>
      <c r="H18" s="5">
        <v>0.56</v>
      </c>
      <c r="I18" s="6">
        <f t="shared" si="2"/>
        <v>0.07999999999999996</v>
      </c>
      <c r="J18" s="6">
        <f t="shared" si="3"/>
        <v>0</v>
      </c>
      <c r="M18" s="3">
        <f t="shared" si="4"/>
        <v>0</v>
      </c>
      <c r="N18" s="30">
        <f t="shared" si="5"/>
        <v>0</v>
      </c>
      <c r="O18" s="3">
        <f t="shared" si="6"/>
        <v>0</v>
      </c>
      <c r="P18" s="10">
        <f t="shared" si="7"/>
        <v>0</v>
      </c>
      <c r="Q18" s="6">
        <f t="shared" si="14"/>
        <v>0.5333333333333333</v>
      </c>
      <c r="R18" s="11">
        <v>1841.26</v>
      </c>
      <c r="S18" s="11">
        <v>1838.7</v>
      </c>
      <c r="T18" s="12">
        <f t="shared" si="8"/>
        <v>-2.5599999999999454</v>
      </c>
      <c r="U18" s="13">
        <f t="shared" si="9"/>
        <v>-0.0013903522587792845</v>
      </c>
      <c r="V18" s="6">
        <f t="shared" si="16"/>
        <v>0.45454545454545453</v>
      </c>
      <c r="X18" s="3">
        <f t="shared" si="10"/>
        <v>1</v>
      </c>
      <c r="Y18" s="3">
        <f t="shared" si="11"/>
        <v>0</v>
      </c>
      <c r="Z18" s="10">
        <f t="shared" si="12"/>
        <v>0</v>
      </c>
      <c r="AA18" s="13">
        <f t="shared" si="13"/>
        <v>0</v>
      </c>
    </row>
    <row r="19" spans="1:27" ht="14.25">
      <c r="A19" s="3">
        <f t="shared" si="15"/>
        <v>17</v>
      </c>
      <c r="B19" s="29">
        <f aca="true" t="shared" si="17" ref="B19:B21">B18+7</f>
        <v>41659</v>
      </c>
      <c r="C19" s="5">
        <v>0.647</v>
      </c>
      <c r="D19" s="5">
        <f aca="true" t="shared" si="18" ref="D19:D20">1-C19</f>
        <v>0.353</v>
      </c>
      <c r="E19" s="6">
        <f t="shared" si="1"/>
        <v>0.29400000000000004</v>
      </c>
      <c r="F19" s="5">
        <v>0.588</v>
      </c>
      <c r="G19" s="5">
        <v>0.6</v>
      </c>
      <c r="H19" s="5">
        <v>0.5670000000000001</v>
      </c>
      <c r="I19" s="6">
        <f t="shared" si="2"/>
        <v>0.03299999999999992</v>
      </c>
      <c r="J19" s="6">
        <f t="shared" si="3"/>
        <v>0</v>
      </c>
      <c r="M19" s="3">
        <f t="shared" si="4"/>
        <v>0</v>
      </c>
      <c r="N19" s="30">
        <f t="shared" si="5"/>
        <v>0</v>
      </c>
      <c r="O19" s="3">
        <f t="shared" si="6"/>
        <v>0</v>
      </c>
      <c r="P19" s="10">
        <f t="shared" si="7"/>
        <v>0</v>
      </c>
      <c r="Q19" s="6">
        <f t="shared" si="14"/>
        <v>0.5</v>
      </c>
      <c r="R19" s="11">
        <v>1841.05</v>
      </c>
      <c r="S19" s="11">
        <v>1790.29</v>
      </c>
      <c r="T19" s="12">
        <f t="shared" si="8"/>
        <v>-50.75999999999999</v>
      </c>
      <c r="U19" s="13">
        <f t="shared" si="9"/>
        <v>-0.02757122294342902</v>
      </c>
      <c r="V19" s="6">
        <f t="shared" si="16"/>
        <v>0.36363636363636365</v>
      </c>
      <c r="X19" s="3">
        <f t="shared" si="10"/>
        <v>1</v>
      </c>
      <c r="Y19" s="3">
        <f t="shared" si="11"/>
        <v>0</v>
      </c>
      <c r="Z19" s="10">
        <f t="shared" si="12"/>
        <v>0</v>
      </c>
      <c r="AA19" s="13">
        <f t="shared" si="13"/>
        <v>0</v>
      </c>
    </row>
    <row r="20" spans="1:27" ht="14.25">
      <c r="A20" s="3">
        <f t="shared" si="15"/>
        <v>18</v>
      </c>
      <c r="B20" s="29">
        <f t="shared" si="17"/>
        <v>41666</v>
      </c>
      <c r="C20" s="5">
        <v>0.5714285714285714</v>
      </c>
      <c r="D20" s="5">
        <f t="shared" si="18"/>
        <v>0.4285714285714286</v>
      </c>
      <c r="E20" s="6">
        <f t="shared" si="1"/>
        <v>0.1428571428571428</v>
      </c>
      <c r="F20" s="5">
        <v>0.686</v>
      </c>
      <c r="G20" s="5">
        <v>0.638</v>
      </c>
      <c r="H20" s="5">
        <v>0.75</v>
      </c>
      <c r="I20" s="6">
        <f t="shared" si="2"/>
        <v>-0.11199999999999999</v>
      </c>
      <c r="J20" s="6">
        <f t="shared" si="3"/>
        <v>0</v>
      </c>
      <c r="M20" s="3">
        <f t="shared" si="4"/>
        <v>0</v>
      </c>
      <c r="N20" s="30">
        <f t="shared" si="5"/>
        <v>0</v>
      </c>
      <c r="O20" s="3">
        <f t="shared" si="6"/>
        <v>0</v>
      </c>
      <c r="P20" s="10">
        <f t="shared" si="7"/>
        <v>0</v>
      </c>
      <c r="Q20" s="6">
        <f t="shared" si="14"/>
        <v>0.47058823529411764</v>
      </c>
      <c r="R20" s="11">
        <v>1791.03</v>
      </c>
      <c r="S20" s="11">
        <v>1782.59</v>
      </c>
      <c r="T20" s="12">
        <f t="shared" si="8"/>
        <v>-8.440000000000055</v>
      </c>
      <c r="U20" s="13">
        <f t="shared" si="9"/>
        <v>-0.0047123722104041</v>
      </c>
      <c r="V20" s="6">
        <f t="shared" si="16"/>
        <v>0.2727272727272727</v>
      </c>
      <c r="X20" s="3">
        <f t="shared" si="10"/>
        <v>1</v>
      </c>
      <c r="Y20" s="3">
        <f t="shared" si="11"/>
        <v>1</v>
      </c>
      <c r="Z20" s="10">
        <f t="shared" si="12"/>
        <v>0</v>
      </c>
      <c r="AA20" s="13">
        <f t="shared" si="13"/>
        <v>-0.0047123722104041</v>
      </c>
    </row>
    <row r="21" spans="1:27" ht="14.25">
      <c r="A21" s="3">
        <f t="shared" si="15"/>
        <v>19</v>
      </c>
      <c r="B21" s="29">
        <f t="shared" si="17"/>
        <v>41673</v>
      </c>
      <c r="C21" s="5">
        <v>0.42850000000000005</v>
      </c>
      <c r="D21" s="5">
        <v>0.5714</v>
      </c>
      <c r="E21" s="6">
        <f t="shared" si="1"/>
        <v>-0.14289999999999997</v>
      </c>
      <c r="F21" s="5">
        <v>0.671</v>
      </c>
      <c r="G21" s="5">
        <v>0.7</v>
      </c>
      <c r="H21" s="5">
        <v>0.65</v>
      </c>
      <c r="I21" s="6">
        <f t="shared" si="2"/>
        <v>0.04999999999999993</v>
      </c>
      <c r="J21" s="6">
        <f t="shared" si="3"/>
        <v>0</v>
      </c>
      <c r="M21" s="3">
        <f t="shared" si="4"/>
        <v>0</v>
      </c>
      <c r="N21" s="30">
        <f t="shared" si="5"/>
        <v>0</v>
      </c>
      <c r="O21" s="3">
        <f t="shared" si="6"/>
        <v>0</v>
      </c>
      <c r="P21" s="10">
        <f t="shared" si="7"/>
        <v>1</v>
      </c>
      <c r="Q21" s="6">
        <f t="shared" si="14"/>
        <v>0.4444444444444444</v>
      </c>
      <c r="R21" s="11">
        <v>1782.68</v>
      </c>
      <c r="S21" s="11">
        <v>1797.02</v>
      </c>
      <c r="T21" s="12">
        <f t="shared" si="8"/>
        <v>14.339999999999918</v>
      </c>
      <c r="U21" s="13">
        <f t="shared" si="9"/>
        <v>0.008044068481163145</v>
      </c>
      <c r="V21" s="6">
        <f t="shared" si="16"/>
        <v>0.18181818181818182</v>
      </c>
      <c r="X21" s="3">
        <f t="shared" si="10"/>
        <v>0</v>
      </c>
      <c r="Y21" s="3">
        <f t="shared" si="11"/>
        <v>0</v>
      </c>
      <c r="Z21" s="10">
        <f t="shared" si="12"/>
        <v>0</v>
      </c>
      <c r="AA21" s="13">
        <f t="shared" si="13"/>
        <v>0</v>
      </c>
    </row>
    <row r="22" spans="1:27" ht="14.25">
      <c r="A22" s="3">
        <f t="shared" si="15"/>
        <v>20</v>
      </c>
      <c r="B22" s="29">
        <v>41680</v>
      </c>
      <c r="C22" s="5">
        <v>0.688</v>
      </c>
      <c r="D22" s="5">
        <v>0.3125</v>
      </c>
      <c r="E22" s="6">
        <f t="shared" si="1"/>
        <v>0.37549999999999994</v>
      </c>
      <c r="F22" s="5">
        <v>0.664</v>
      </c>
      <c r="G22" s="5">
        <v>0.667</v>
      </c>
      <c r="H22" s="5">
        <v>0.66</v>
      </c>
      <c r="I22" s="6">
        <f t="shared" si="2"/>
        <v>0.007000000000000006</v>
      </c>
      <c r="J22" s="6">
        <f t="shared" si="3"/>
        <v>0</v>
      </c>
      <c r="M22" s="3">
        <f t="shared" si="4"/>
        <v>0</v>
      </c>
      <c r="N22" s="30">
        <f t="shared" si="5"/>
        <v>0</v>
      </c>
      <c r="O22" s="3">
        <f t="shared" si="6"/>
        <v>1</v>
      </c>
      <c r="P22" s="10">
        <f t="shared" si="7"/>
        <v>1</v>
      </c>
      <c r="Q22" s="6">
        <f t="shared" si="14"/>
        <v>0.47368421052631576</v>
      </c>
      <c r="R22" s="11">
        <v>1796.2</v>
      </c>
      <c r="S22" s="11">
        <v>1838.63</v>
      </c>
      <c r="T22" s="12">
        <f t="shared" si="8"/>
        <v>42.430000000000064</v>
      </c>
      <c r="U22" s="13">
        <f t="shared" si="9"/>
        <v>0.023622091081171397</v>
      </c>
      <c r="V22" s="6">
        <f t="shared" si="16"/>
        <v>0.2727272727272727</v>
      </c>
      <c r="X22" s="3">
        <f t="shared" si="10"/>
        <v>1</v>
      </c>
      <c r="Y22" s="3">
        <f t="shared" si="11"/>
        <v>0</v>
      </c>
      <c r="Z22" s="10">
        <f t="shared" si="12"/>
        <v>0</v>
      </c>
      <c r="AA22" s="13">
        <f t="shared" si="13"/>
        <v>0</v>
      </c>
    </row>
    <row r="23" spans="1:27" ht="14.25">
      <c r="A23" s="3">
        <v>21</v>
      </c>
      <c r="B23" s="29">
        <v>41687</v>
      </c>
      <c r="C23" s="5">
        <f>15/28</f>
        <v>0.5357142857142857</v>
      </c>
      <c r="D23" s="5">
        <f>13/28</f>
        <v>0.4642857142857143</v>
      </c>
      <c r="E23" s="6">
        <f t="shared" si="1"/>
        <v>0.0714285714285714</v>
      </c>
      <c r="F23" s="5">
        <v>0.637</v>
      </c>
      <c r="G23" s="5">
        <v>0.657</v>
      </c>
      <c r="H23" s="5">
        <v>0.615</v>
      </c>
      <c r="I23" s="6">
        <f t="shared" si="2"/>
        <v>0.04200000000000004</v>
      </c>
      <c r="J23" s="6">
        <f t="shared" si="3"/>
        <v>0</v>
      </c>
      <c r="M23" s="3">
        <f t="shared" si="4"/>
        <v>0</v>
      </c>
      <c r="N23" s="30">
        <f t="shared" si="5"/>
        <v>0</v>
      </c>
      <c r="O23" s="3">
        <f t="shared" si="6"/>
        <v>0</v>
      </c>
      <c r="P23" s="10">
        <f t="shared" si="7"/>
        <v>0</v>
      </c>
      <c r="Q23" s="6">
        <f t="shared" si="14"/>
        <v>0.45</v>
      </c>
      <c r="R23" s="11">
        <v>1839.03</v>
      </c>
      <c r="S23" s="11">
        <v>1836.25</v>
      </c>
      <c r="T23" s="12">
        <f t="shared" si="8"/>
        <v>-2.7799999999999727</v>
      </c>
      <c r="U23" s="13">
        <f t="shared" si="9"/>
        <v>-0.00151166647634893</v>
      </c>
      <c r="V23" s="6">
        <f t="shared" si="16"/>
        <v>0.2727272727272727</v>
      </c>
      <c r="X23" s="3">
        <f t="shared" si="10"/>
        <v>1</v>
      </c>
      <c r="Y23" s="3">
        <f t="shared" si="11"/>
        <v>0</v>
      </c>
      <c r="Z23" s="10">
        <f t="shared" si="12"/>
        <v>0</v>
      </c>
      <c r="AA23" s="13">
        <f t="shared" si="13"/>
        <v>0</v>
      </c>
    </row>
    <row r="24" spans="1:27" ht="14.25">
      <c r="A24" s="3">
        <f aca="true" t="shared" si="19" ref="A24:A164">A23+1</f>
        <v>22</v>
      </c>
      <c r="B24" s="29">
        <f aca="true" t="shared" si="20" ref="B24:B264">B23+7</f>
        <v>41694</v>
      </c>
      <c r="C24" s="5">
        <f>7/17</f>
        <v>0.4117647058823529</v>
      </c>
      <c r="D24" s="5">
        <f>10/17</f>
        <v>0.5882352941176471</v>
      </c>
      <c r="E24" s="6">
        <f t="shared" si="1"/>
        <v>-0.17647058823529416</v>
      </c>
      <c r="F24" s="5">
        <v>0.671</v>
      </c>
      <c r="G24" s="5">
        <v>0.686</v>
      </c>
      <c r="H24" s="5">
        <v>0.66</v>
      </c>
      <c r="I24" s="6">
        <f t="shared" si="2"/>
        <v>0.026000000000000023</v>
      </c>
      <c r="J24" s="6">
        <f t="shared" si="3"/>
        <v>0</v>
      </c>
      <c r="M24" s="3">
        <f t="shared" si="4"/>
        <v>0</v>
      </c>
      <c r="N24" s="30">
        <f t="shared" si="5"/>
        <v>0</v>
      </c>
      <c r="O24" s="3">
        <f t="shared" si="6"/>
        <v>0</v>
      </c>
      <c r="P24" s="10">
        <f t="shared" si="7"/>
        <v>1</v>
      </c>
      <c r="Q24" s="6">
        <f t="shared" si="14"/>
        <v>0.42857142857142855</v>
      </c>
      <c r="R24" s="11">
        <v>1836.78</v>
      </c>
      <c r="S24" s="11">
        <v>1859.45</v>
      </c>
      <c r="T24" s="12">
        <f t="shared" si="8"/>
        <v>22.670000000000073</v>
      </c>
      <c r="U24" s="13">
        <f t="shared" si="9"/>
        <v>0.012342251113361466</v>
      </c>
      <c r="V24" s="6">
        <f t="shared" si="16"/>
        <v>0.2727272727272727</v>
      </c>
      <c r="X24" s="3">
        <f t="shared" si="10"/>
        <v>0</v>
      </c>
      <c r="Y24" s="3">
        <f t="shared" si="11"/>
        <v>0</v>
      </c>
      <c r="Z24" s="10">
        <f t="shared" si="12"/>
        <v>0</v>
      </c>
      <c r="AA24" s="13">
        <f t="shared" si="13"/>
        <v>0</v>
      </c>
    </row>
    <row r="25" spans="1:27" ht="14.25">
      <c r="A25" s="3">
        <f t="shared" si="19"/>
        <v>23</v>
      </c>
      <c r="B25" s="29">
        <f t="shared" si="20"/>
        <v>41701</v>
      </c>
      <c r="C25" s="5">
        <v>0.5</v>
      </c>
      <c r="D25" s="5">
        <v>0.5</v>
      </c>
      <c r="E25" s="6">
        <f t="shared" si="1"/>
        <v>0</v>
      </c>
      <c r="F25" s="5">
        <v>0.612</v>
      </c>
      <c r="G25" s="5">
        <v>0.577</v>
      </c>
      <c r="H25" s="5">
        <v>0.646</v>
      </c>
      <c r="I25" s="6">
        <f t="shared" si="2"/>
        <v>-0.06900000000000006</v>
      </c>
      <c r="J25" s="3" t="s">
        <v>58</v>
      </c>
      <c r="M25" s="3">
        <f t="shared" si="4"/>
        <v>0</v>
      </c>
      <c r="N25" s="3" t="s">
        <v>58</v>
      </c>
      <c r="O25" s="3" t="s">
        <v>58</v>
      </c>
      <c r="P25" s="10">
        <f t="shared" si="7"/>
        <v>1</v>
      </c>
      <c r="Q25" s="6">
        <f t="shared" si="14"/>
        <v>0.42857142857142855</v>
      </c>
      <c r="R25" s="11">
        <v>1857.68</v>
      </c>
      <c r="S25" s="11">
        <v>1878.04</v>
      </c>
      <c r="T25" s="12">
        <f t="shared" si="8"/>
        <v>20.3599999999999</v>
      </c>
      <c r="U25" s="13">
        <f t="shared" si="9"/>
        <v>0.010959906980750129</v>
      </c>
      <c r="V25" s="6">
        <f t="shared" si="16"/>
        <v>0.2</v>
      </c>
      <c r="X25" s="3">
        <f t="shared" si="10"/>
        <v>0</v>
      </c>
      <c r="Y25" s="3">
        <f t="shared" si="11"/>
        <v>1</v>
      </c>
      <c r="Z25" s="10">
        <f t="shared" si="12"/>
        <v>0</v>
      </c>
      <c r="AA25" s="13">
        <f t="shared" si="13"/>
        <v>0</v>
      </c>
    </row>
    <row r="26" spans="1:27" ht="14.25">
      <c r="A26" s="3">
        <f t="shared" si="19"/>
        <v>24</v>
      </c>
      <c r="B26" s="29">
        <f t="shared" si="20"/>
        <v>41708</v>
      </c>
      <c r="C26" s="5">
        <f>5/20</f>
        <v>0.25</v>
      </c>
      <c r="D26" s="5">
        <f>15/20</f>
        <v>0.75</v>
      </c>
      <c r="E26" s="6">
        <f t="shared" si="1"/>
        <v>-0.5</v>
      </c>
      <c r="F26" s="5">
        <v>0.675</v>
      </c>
      <c r="G26" s="5">
        <v>0.68</v>
      </c>
      <c r="H26" s="5">
        <v>0.673</v>
      </c>
      <c r="I26" s="6">
        <f t="shared" si="2"/>
        <v>0.007000000000000006</v>
      </c>
      <c r="J26" s="6">
        <f aca="true" t="shared" si="21" ref="J26:J30">IF(C26&gt;D26,"Higher","Lower")</f>
        <v>0</v>
      </c>
      <c r="M26" s="3">
        <f t="shared" si="4"/>
        <v>0</v>
      </c>
      <c r="N26" s="30">
        <f aca="true" t="shared" si="22" ref="N26:N30">IF(J26=M26,"Yes","No")</f>
        <v>0</v>
      </c>
      <c r="O26" s="3">
        <f aca="true" t="shared" si="23" ref="O26:O30">IF(N26="Yes",1,0)</f>
        <v>1</v>
      </c>
      <c r="P26" s="10">
        <f t="shared" si="7"/>
        <v>0</v>
      </c>
      <c r="Q26" s="6">
        <f t="shared" si="14"/>
        <v>0.45454545454545453</v>
      </c>
      <c r="R26" s="11">
        <v>1877.86</v>
      </c>
      <c r="S26" s="11">
        <v>1841.13</v>
      </c>
      <c r="T26" s="12">
        <f t="shared" si="8"/>
        <v>-36.72999999999979</v>
      </c>
      <c r="U26" s="13">
        <f t="shared" si="9"/>
        <v>-0.019559498578168657</v>
      </c>
      <c r="V26" s="6">
        <f t="shared" si="16"/>
        <v>0.2</v>
      </c>
      <c r="X26" s="3">
        <f t="shared" si="10"/>
        <v>0</v>
      </c>
      <c r="Y26" s="3">
        <f t="shared" si="11"/>
        <v>0</v>
      </c>
      <c r="Z26" s="10">
        <f t="shared" si="12"/>
        <v>0</v>
      </c>
      <c r="AA26" s="13">
        <f t="shared" si="13"/>
        <v>0</v>
      </c>
    </row>
    <row r="27" spans="1:27" ht="14.25">
      <c r="A27" s="3">
        <f t="shared" si="19"/>
        <v>25</v>
      </c>
      <c r="B27" s="29">
        <f t="shared" si="20"/>
        <v>41715</v>
      </c>
      <c r="C27" s="5">
        <f>3/11</f>
        <v>0.2727272727272727</v>
      </c>
      <c r="D27" s="5">
        <f>8/11</f>
        <v>0.7272727272727273</v>
      </c>
      <c r="E27" s="6">
        <f t="shared" si="1"/>
        <v>-0.4545454545454546</v>
      </c>
      <c r="F27" s="5">
        <v>0.63</v>
      </c>
      <c r="G27" s="5">
        <v>0.6</v>
      </c>
      <c r="H27" s="5">
        <v>0.643</v>
      </c>
      <c r="I27" s="6">
        <f t="shared" si="2"/>
        <v>-0.04300000000000004</v>
      </c>
      <c r="J27" s="6">
        <f t="shared" si="21"/>
        <v>0</v>
      </c>
      <c r="M27" s="3">
        <f t="shared" si="4"/>
        <v>0</v>
      </c>
      <c r="N27" s="30">
        <f t="shared" si="22"/>
        <v>0</v>
      </c>
      <c r="O27" s="3">
        <f t="shared" si="23"/>
        <v>0</v>
      </c>
      <c r="P27" s="10">
        <f t="shared" si="7"/>
        <v>1</v>
      </c>
      <c r="Q27" s="6">
        <f t="shared" si="14"/>
        <v>0.43478260869565216</v>
      </c>
      <c r="R27" s="11">
        <v>1842.81</v>
      </c>
      <c r="S27" s="11">
        <v>1866.52</v>
      </c>
      <c r="T27" s="12">
        <f t="shared" si="8"/>
        <v>23.710000000000036</v>
      </c>
      <c r="U27" s="13">
        <f t="shared" si="9"/>
        <v>0.012866220608744275</v>
      </c>
      <c r="V27" s="6">
        <f t="shared" si="16"/>
        <v>0.2</v>
      </c>
      <c r="X27" s="3">
        <f t="shared" si="10"/>
        <v>0</v>
      </c>
      <c r="Y27" s="3">
        <f t="shared" si="11"/>
        <v>1</v>
      </c>
      <c r="Z27" s="10">
        <f t="shared" si="12"/>
        <v>0</v>
      </c>
      <c r="AA27" s="13">
        <f t="shared" si="13"/>
        <v>0</v>
      </c>
    </row>
    <row r="28" spans="1:27" ht="14.25">
      <c r="A28" s="3">
        <f t="shared" si="19"/>
        <v>26</v>
      </c>
      <c r="B28" s="29">
        <f t="shared" si="20"/>
        <v>41722</v>
      </c>
      <c r="C28" s="5">
        <f>15/26</f>
        <v>0.5769230769230769</v>
      </c>
      <c r="D28" s="5">
        <f>11/26</f>
        <v>0.4230769230769231</v>
      </c>
      <c r="E28" s="6">
        <f t="shared" si="1"/>
        <v>0.1538461538461538</v>
      </c>
      <c r="F28" s="5">
        <v>0.623</v>
      </c>
      <c r="G28" s="5">
        <v>0.613</v>
      </c>
      <c r="H28" s="5">
        <v>0.636</v>
      </c>
      <c r="I28" s="6">
        <f t="shared" si="2"/>
        <v>-0.02300000000000002</v>
      </c>
      <c r="J28" s="6">
        <f t="shared" si="21"/>
        <v>0</v>
      </c>
      <c r="M28" s="3">
        <f t="shared" si="4"/>
        <v>0</v>
      </c>
      <c r="N28" s="30">
        <f t="shared" si="22"/>
        <v>0</v>
      </c>
      <c r="O28" s="3">
        <f t="shared" si="23"/>
        <v>0</v>
      </c>
      <c r="P28" s="10">
        <f t="shared" si="7"/>
        <v>0</v>
      </c>
      <c r="Q28" s="6">
        <f t="shared" si="14"/>
        <v>0.4166666666666667</v>
      </c>
      <c r="R28" s="11">
        <v>1859.48</v>
      </c>
      <c r="S28" s="11">
        <v>1857.62</v>
      </c>
      <c r="T28" s="12">
        <f t="shared" si="8"/>
        <v>-1.8600000000001273</v>
      </c>
      <c r="U28" s="13">
        <f t="shared" si="9"/>
        <v>-0.0010002796480737236</v>
      </c>
      <c r="V28" s="6">
        <f t="shared" si="16"/>
        <v>0.2</v>
      </c>
      <c r="X28" s="3">
        <f t="shared" si="10"/>
        <v>1</v>
      </c>
      <c r="Y28" s="3">
        <f t="shared" si="11"/>
        <v>1</v>
      </c>
      <c r="Z28" s="10">
        <f t="shared" si="12"/>
        <v>0</v>
      </c>
      <c r="AA28" s="13">
        <f t="shared" si="13"/>
        <v>-0.0010002796480737236</v>
      </c>
    </row>
    <row r="29" spans="1:27" ht="14.25">
      <c r="A29" s="3">
        <f t="shared" si="19"/>
        <v>27</v>
      </c>
      <c r="B29" s="29">
        <f t="shared" si="20"/>
        <v>41729</v>
      </c>
      <c r="C29" s="5">
        <f>17/35</f>
        <v>0.4857142857142857</v>
      </c>
      <c r="D29" s="5">
        <f>18/35</f>
        <v>0.5142857142857142</v>
      </c>
      <c r="E29" s="6">
        <f t="shared" si="1"/>
        <v>-0.028571428571428525</v>
      </c>
      <c r="F29" s="5">
        <v>0.637</v>
      </c>
      <c r="G29" s="5">
        <v>0.6</v>
      </c>
      <c r="H29" s="5">
        <v>0.672</v>
      </c>
      <c r="I29" s="6">
        <f t="shared" si="2"/>
        <v>-0.07200000000000006</v>
      </c>
      <c r="J29" s="6">
        <f t="shared" si="21"/>
        <v>0</v>
      </c>
      <c r="M29" s="3">
        <f t="shared" si="4"/>
        <v>0</v>
      </c>
      <c r="N29" s="30">
        <f t="shared" si="22"/>
        <v>0</v>
      </c>
      <c r="O29" s="3">
        <f t="shared" si="23"/>
        <v>0</v>
      </c>
      <c r="P29" s="10">
        <f t="shared" si="7"/>
        <v>1</v>
      </c>
      <c r="Q29" s="6">
        <f t="shared" si="14"/>
        <v>0.4</v>
      </c>
      <c r="R29" s="11">
        <v>1859.16</v>
      </c>
      <c r="S29" s="11">
        <v>1865.09</v>
      </c>
      <c r="T29" s="12">
        <f t="shared" si="8"/>
        <v>5.929999999999836</v>
      </c>
      <c r="U29" s="13">
        <f t="shared" si="9"/>
        <v>0.003189612513177906</v>
      </c>
      <c r="V29" s="6">
        <f t="shared" si="16"/>
        <v>0.2</v>
      </c>
      <c r="X29" s="3">
        <f t="shared" si="10"/>
        <v>0</v>
      </c>
      <c r="Y29" s="3">
        <f t="shared" si="11"/>
        <v>1</v>
      </c>
      <c r="Z29" s="10">
        <f t="shared" si="12"/>
        <v>0</v>
      </c>
      <c r="AA29" s="13">
        <f t="shared" si="13"/>
        <v>0</v>
      </c>
    </row>
    <row r="30" spans="1:27" ht="14.25">
      <c r="A30" s="3">
        <f t="shared" si="19"/>
        <v>28</v>
      </c>
      <c r="B30" s="29">
        <f t="shared" si="20"/>
        <v>41736</v>
      </c>
      <c r="C30" s="5">
        <f>10/22</f>
        <v>0.45454545454545453</v>
      </c>
      <c r="D30" s="5">
        <f>12/22</f>
        <v>0.5454545454545454</v>
      </c>
      <c r="E30" s="6">
        <f t="shared" si="1"/>
        <v>-0.09090909090909088</v>
      </c>
      <c r="F30" s="5">
        <v>0.6910000000000001</v>
      </c>
      <c r="G30" s="5">
        <v>0.63</v>
      </c>
      <c r="H30" s="5">
        <v>0.742</v>
      </c>
      <c r="I30" s="6">
        <f t="shared" si="2"/>
        <v>-0.11199999999999999</v>
      </c>
      <c r="J30" s="6">
        <f t="shared" si="21"/>
        <v>0</v>
      </c>
      <c r="M30" s="3">
        <f t="shared" si="4"/>
        <v>0</v>
      </c>
      <c r="N30" s="30">
        <f t="shared" si="22"/>
        <v>0</v>
      </c>
      <c r="O30" s="3">
        <f t="shared" si="23"/>
        <v>1</v>
      </c>
      <c r="P30" s="10">
        <f t="shared" si="7"/>
        <v>0</v>
      </c>
      <c r="Q30" s="6">
        <f t="shared" si="14"/>
        <v>0.4230769230769231</v>
      </c>
      <c r="R30" s="11">
        <v>1863.92</v>
      </c>
      <c r="S30" s="11">
        <v>1815.69</v>
      </c>
      <c r="T30" s="12">
        <f t="shared" si="8"/>
        <v>-48.23000000000002</v>
      </c>
      <c r="U30" s="13">
        <f t="shared" si="9"/>
        <v>-0.025875574058972495</v>
      </c>
      <c r="V30" s="6">
        <f t="shared" si="16"/>
        <v>0.3</v>
      </c>
      <c r="X30" s="3">
        <f t="shared" si="10"/>
        <v>0</v>
      </c>
      <c r="Y30" s="3">
        <f t="shared" si="11"/>
        <v>1</v>
      </c>
      <c r="Z30" s="10">
        <f t="shared" si="12"/>
        <v>0</v>
      </c>
      <c r="AA30" s="13">
        <f t="shared" si="13"/>
        <v>0</v>
      </c>
    </row>
    <row r="31" spans="1:27" ht="14.25">
      <c r="A31" s="3">
        <f t="shared" si="19"/>
        <v>29</v>
      </c>
      <c r="B31" s="29">
        <f t="shared" si="20"/>
        <v>41743</v>
      </c>
      <c r="C31" s="5">
        <v>0.5</v>
      </c>
      <c r="D31" s="5">
        <v>0.5</v>
      </c>
      <c r="E31" s="6">
        <f t="shared" si="1"/>
        <v>0</v>
      </c>
      <c r="F31" s="5">
        <v>0.707</v>
      </c>
      <c r="G31" s="5">
        <v>0.743</v>
      </c>
      <c r="H31" s="5">
        <v>0.671</v>
      </c>
      <c r="I31" s="6">
        <f t="shared" si="2"/>
        <v>0.07199999999999995</v>
      </c>
      <c r="J31" s="3" t="s">
        <v>58</v>
      </c>
      <c r="M31" s="3">
        <f t="shared" si="4"/>
        <v>0</v>
      </c>
      <c r="N31" s="3" t="s">
        <v>58</v>
      </c>
      <c r="O31" s="3" t="s">
        <v>58</v>
      </c>
      <c r="P31" s="10">
        <f t="shared" si="7"/>
        <v>1</v>
      </c>
      <c r="Q31" s="6">
        <f t="shared" si="14"/>
        <v>0.4230769230769231</v>
      </c>
      <c r="R31" s="11">
        <v>1818.18</v>
      </c>
      <c r="S31" s="11">
        <v>1864.85</v>
      </c>
      <c r="T31" s="12">
        <f t="shared" si="8"/>
        <v>46.669999999999845</v>
      </c>
      <c r="U31" s="13">
        <f t="shared" si="9"/>
        <v>0.025668525668525583</v>
      </c>
      <c r="V31" s="6">
        <f t="shared" si="16"/>
        <v>0.3333333333333333</v>
      </c>
      <c r="X31" s="3">
        <f t="shared" si="10"/>
        <v>0</v>
      </c>
      <c r="Y31" s="3">
        <f t="shared" si="11"/>
        <v>0</v>
      </c>
      <c r="Z31" s="10">
        <f t="shared" si="12"/>
        <v>0</v>
      </c>
      <c r="AA31" s="13">
        <f t="shared" si="13"/>
        <v>0</v>
      </c>
    </row>
    <row r="32" spans="1:27" ht="14.25">
      <c r="A32" s="3">
        <f t="shared" si="19"/>
        <v>30</v>
      </c>
      <c r="B32" s="29">
        <f t="shared" si="20"/>
        <v>41750</v>
      </c>
      <c r="C32" s="5">
        <f>92/151</f>
        <v>0.609271523178808</v>
      </c>
      <c r="D32" s="5">
        <f>59/151</f>
        <v>0.39072847682119205</v>
      </c>
      <c r="E32" s="6">
        <f t="shared" si="1"/>
        <v>0.2185430463576159</v>
      </c>
      <c r="F32" s="5">
        <v>0.639</v>
      </c>
      <c r="G32" s="5">
        <v>0.676</v>
      </c>
      <c r="H32" s="5">
        <v>0.581</v>
      </c>
      <c r="I32" s="6">
        <f t="shared" si="2"/>
        <v>0.09500000000000008</v>
      </c>
      <c r="J32" s="6">
        <f aca="true" t="shared" si="24" ref="J32:J77">IF(C32&gt;D32,"Higher","Lower")</f>
        <v>0</v>
      </c>
      <c r="M32" s="3">
        <f t="shared" si="4"/>
        <v>0</v>
      </c>
      <c r="N32" s="30">
        <f aca="true" t="shared" si="25" ref="N32:N77">IF(J32=M32,"Yes","No")</f>
        <v>0</v>
      </c>
      <c r="O32" s="3">
        <f aca="true" t="shared" si="26" ref="O32:O77">IF(N32="Yes",1,0)</f>
        <v>0</v>
      </c>
      <c r="P32" s="10">
        <f t="shared" si="7"/>
        <v>0</v>
      </c>
      <c r="Q32" s="6">
        <f t="shared" si="14"/>
        <v>0.4074074074074074</v>
      </c>
      <c r="R32" s="11">
        <v>1865.79</v>
      </c>
      <c r="S32" s="11">
        <v>1863.4</v>
      </c>
      <c r="T32" s="12">
        <f t="shared" si="8"/>
        <v>-2.3899999999998727</v>
      </c>
      <c r="U32" s="13">
        <f t="shared" si="9"/>
        <v>-0.0012809587359777213</v>
      </c>
      <c r="V32" s="6">
        <f t="shared" si="16"/>
        <v>0.3333333333333333</v>
      </c>
      <c r="X32" s="3">
        <f t="shared" si="10"/>
        <v>1</v>
      </c>
      <c r="Y32" s="3">
        <f t="shared" si="11"/>
        <v>0</v>
      </c>
      <c r="Z32" s="10">
        <f t="shared" si="12"/>
        <v>0</v>
      </c>
      <c r="AA32" s="13">
        <f t="shared" si="13"/>
        <v>0</v>
      </c>
    </row>
    <row r="33" spans="1:27" ht="14.25">
      <c r="A33" s="3">
        <f t="shared" si="19"/>
        <v>31</v>
      </c>
      <c r="B33" s="29">
        <f t="shared" si="20"/>
        <v>41757</v>
      </c>
      <c r="C33" s="5">
        <f>31/52</f>
        <v>0.5961538461538461</v>
      </c>
      <c r="D33" s="5">
        <f>21/52</f>
        <v>0.40384615384615385</v>
      </c>
      <c r="E33" s="6">
        <f t="shared" si="1"/>
        <v>0.1923076923076923</v>
      </c>
      <c r="F33" s="5">
        <v>0.5700000000000001</v>
      </c>
      <c r="G33" s="5">
        <v>0.542</v>
      </c>
      <c r="H33" s="5">
        <v>0.616</v>
      </c>
      <c r="I33" s="6">
        <f t="shared" si="2"/>
        <v>-0.07399999999999995</v>
      </c>
      <c r="J33" s="6">
        <f t="shared" si="24"/>
        <v>0</v>
      </c>
      <c r="M33" s="3">
        <f t="shared" si="4"/>
        <v>0</v>
      </c>
      <c r="N33" s="30">
        <f t="shared" si="25"/>
        <v>0</v>
      </c>
      <c r="O33" s="3">
        <f t="shared" si="26"/>
        <v>1</v>
      </c>
      <c r="P33" s="10">
        <f t="shared" si="7"/>
        <v>1</v>
      </c>
      <c r="Q33" s="6">
        <f t="shared" si="14"/>
        <v>0.42857142857142855</v>
      </c>
      <c r="R33" s="11">
        <v>1865</v>
      </c>
      <c r="S33" s="11">
        <v>1881.14</v>
      </c>
      <c r="T33" s="12">
        <f t="shared" si="8"/>
        <v>16.1400000000001</v>
      </c>
      <c r="U33" s="13">
        <f t="shared" si="9"/>
        <v>0.008654155495978606</v>
      </c>
      <c r="V33" s="6">
        <f t="shared" si="16"/>
        <v>0.3333333333333333</v>
      </c>
      <c r="X33" s="3">
        <f t="shared" si="10"/>
        <v>1</v>
      </c>
      <c r="Y33" s="3">
        <f t="shared" si="11"/>
        <v>1</v>
      </c>
      <c r="Z33" s="10">
        <f t="shared" si="12"/>
        <v>1</v>
      </c>
      <c r="AA33" s="13">
        <f t="shared" si="13"/>
        <v>0.008654155495978606</v>
      </c>
    </row>
    <row r="34" spans="1:27" ht="14.25">
      <c r="A34" s="3">
        <f t="shared" si="19"/>
        <v>32</v>
      </c>
      <c r="B34" s="29">
        <f t="shared" si="20"/>
        <v>41764</v>
      </c>
      <c r="C34" s="5">
        <f>25/48</f>
        <v>0.5208333333333334</v>
      </c>
      <c r="D34" s="5">
        <f>23/48</f>
        <v>0.4791666666666667</v>
      </c>
      <c r="E34" s="6">
        <f t="shared" si="1"/>
        <v>0.041666666666666685</v>
      </c>
      <c r="F34" s="5">
        <v>0.48</v>
      </c>
      <c r="G34" s="5">
        <v>0.52</v>
      </c>
      <c r="H34" s="5">
        <v>0.438</v>
      </c>
      <c r="I34" s="6">
        <f t="shared" si="2"/>
        <v>0.08200000000000002</v>
      </c>
      <c r="J34" s="6">
        <f t="shared" si="24"/>
        <v>0</v>
      </c>
      <c r="M34" s="3">
        <f t="shared" si="4"/>
        <v>0</v>
      </c>
      <c r="N34" s="30">
        <f t="shared" si="25"/>
        <v>0</v>
      </c>
      <c r="O34" s="3">
        <f t="shared" si="26"/>
        <v>0</v>
      </c>
      <c r="P34" s="10">
        <f t="shared" si="7"/>
        <v>0</v>
      </c>
      <c r="Q34" s="6">
        <f t="shared" si="14"/>
        <v>0.41379310344827586</v>
      </c>
      <c r="R34" s="11">
        <v>1879.45</v>
      </c>
      <c r="S34" s="11">
        <v>1878.48</v>
      </c>
      <c r="T34" s="12">
        <f t="shared" si="8"/>
        <v>-0.9700000000000273</v>
      </c>
      <c r="U34" s="13">
        <f t="shared" si="9"/>
        <v>-0.0005161084359786253</v>
      </c>
      <c r="V34" s="6">
        <f t="shared" si="16"/>
        <v>0.3333333333333333</v>
      </c>
      <c r="X34" s="3">
        <f t="shared" si="10"/>
        <v>1</v>
      </c>
      <c r="Y34" s="3">
        <f t="shared" si="11"/>
        <v>0</v>
      </c>
      <c r="Z34" s="10">
        <f t="shared" si="12"/>
        <v>0</v>
      </c>
      <c r="AA34" s="13">
        <f t="shared" si="13"/>
        <v>0</v>
      </c>
    </row>
    <row r="35" spans="1:27" ht="14.25">
      <c r="A35" s="3">
        <f t="shared" si="19"/>
        <v>33</v>
      </c>
      <c r="B35" s="29">
        <f t="shared" si="20"/>
        <v>41771</v>
      </c>
      <c r="C35" s="5">
        <f>9/28</f>
        <v>0.32142857142857145</v>
      </c>
      <c r="D35" s="5">
        <f>19/28</f>
        <v>0.6785714285714286</v>
      </c>
      <c r="E35" s="6">
        <f t="shared" si="1"/>
        <v>-0.35714285714285715</v>
      </c>
      <c r="F35" s="5">
        <v>0.559</v>
      </c>
      <c r="G35" s="5">
        <v>0.5630000000000001</v>
      </c>
      <c r="H35" s="5">
        <v>0.558</v>
      </c>
      <c r="I35" s="6">
        <f t="shared" si="2"/>
        <v>0.0050000000000000044</v>
      </c>
      <c r="J35" s="6">
        <f t="shared" si="24"/>
        <v>0</v>
      </c>
      <c r="M35" s="3">
        <f t="shared" si="4"/>
        <v>0</v>
      </c>
      <c r="N35" s="30">
        <f t="shared" si="25"/>
        <v>0</v>
      </c>
      <c r="O35" s="3">
        <f t="shared" si="26"/>
        <v>1</v>
      </c>
      <c r="P35" s="10">
        <f t="shared" si="7"/>
        <v>0</v>
      </c>
      <c r="Q35" s="6">
        <f t="shared" si="14"/>
        <v>0.43333333333333335</v>
      </c>
      <c r="R35" s="11">
        <v>1880.03</v>
      </c>
      <c r="S35" s="11">
        <v>1877.86</v>
      </c>
      <c r="T35" s="12">
        <f t="shared" si="8"/>
        <v>-2.1700000000000728</v>
      </c>
      <c r="U35" s="13">
        <f t="shared" si="9"/>
        <v>-0.0011542369004750312</v>
      </c>
      <c r="V35" s="6">
        <f t="shared" si="16"/>
        <v>0.4444444444444444</v>
      </c>
      <c r="X35" s="3">
        <f t="shared" si="10"/>
        <v>0</v>
      </c>
      <c r="Y35" s="3">
        <f t="shared" si="11"/>
        <v>0</v>
      </c>
      <c r="Z35" s="10">
        <f t="shared" si="12"/>
        <v>0</v>
      </c>
      <c r="AA35" s="13">
        <f t="shared" si="13"/>
        <v>0</v>
      </c>
    </row>
    <row r="36" spans="1:27" ht="14.25">
      <c r="A36" s="3">
        <f t="shared" si="19"/>
        <v>34</v>
      </c>
      <c r="B36" s="29">
        <f t="shared" si="20"/>
        <v>41778</v>
      </c>
      <c r="C36" s="5">
        <f>15/32</f>
        <v>0.46875</v>
      </c>
      <c r="D36" s="5">
        <f>17/32</f>
        <v>0.53125</v>
      </c>
      <c r="E36" s="6">
        <f t="shared" si="1"/>
        <v>-0.0625</v>
      </c>
      <c r="F36" s="5">
        <v>0.619</v>
      </c>
      <c r="G36" s="5">
        <v>0.78</v>
      </c>
      <c r="H36" s="5">
        <v>0.47700000000000004</v>
      </c>
      <c r="I36" s="6">
        <f t="shared" si="2"/>
        <v>0.303</v>
      </c>
      <c r="J36" s="6">
        <f t="shared" si="24"/>
        <v>0</v>
      </c>
      <c r="M36" s="3">
        <f t="shared" si="4"/>
        <v>0</v>
      </c>
      <c r="N36" s="30">
        <f t="shared" si="25"/>
        <v>0</v>
      </c>
      <c r="O36" s="3">
        <f t="shared" si="26"/>
        <v>0</v>
      </c>
      <c r="P36" s="10">
        <f t="shared" si="7"/>
        <v>1</v>
      </c>
      <c r="Q36" s="6">
        <f t="shared" si="14"/>
        <v>0.41935483870967744</v>
      </c>
      <c r="R36" s="11">
        <v>1876.66</v>
      </c>
      <c r="S36" s="11">
        <v>1900.53</v>
      </c>
      <c r="T36" s="12">
        <f t="shared" si="8"/>
        <v>23.86999999999989</v>
      </c>
      <c r="U36" s="13">
        <f t="shared" si="9"/>
        <v>0.012719405752773486</v>
      </c>
      <c r="V36" s="6">
        <f t="shared" si="16"/>
        <v>0.4</v>
      </c>
      <c r="X36" s="3">
        <f t="shared" si="10"/>
        <v>0</v>
      </c>
      <c r="Y36" s="3">
        <f t="shared" si="11"/>
        <v>0</v>
      </c>
      <c r="Z36" s="10">
        <f t="shared" si="12"/>
        <v>0</v>
      </c>
      <c r="AA36" s="13">
        <f t="shared" si="13"/>
        <v>0</v>
      </c>
    </row>
    <row r="37" spans="1:27" ht="14.25">
      <c r="A37" s="3">
        <f t="shared" si="19"/>
        <v>35</v>
      </c>
      <c r="B37" s="29">
        <f t="shared" si="20"/>
        <v>41785</v>
      </c>
      <c r="C37" s="5">
        <f>13/22</f>
        <v>0.5909090909090909</v>
      </c>
      <c r="D37" s="5">
        <f>9/22</f>
        <v>0.4090909090909091</v>
      </c>
      <c r="E37" s="6">
        <f t="shared" si="1"/>
        <v>0.18181818181818182</v>
      </c>
      <c r="F37" s="5">
        <v>0.55</v>
      </c>
      <c r="G37" s="5">
        <v>0.631</v>
      </c>
      <c r="H37" s="5">
        <v>0.433</v>
      </c>
      <c r="I37" s="6">
        <f t="shared" si="2"/>
        <v>0.198</v>
      </c>
      <c r="J37" s="6">
        <f t="shared" si="24"/>
        <v>0</v>
      </c>
      <c r="M37" s="3">
        <f t="shared" si="4"/>
        <v>0</v>
      </c>
      <c r="N37" s="30">
        <f t="shared" si="25"/>
        <v>0</v>
      </c>
      <c r="O37" s="3">
        <f t="shared" si="26"/>
        <v>1</v>
      </c>
      <c r="P37" s="10">
        <f t="shared" si="7"/>
        <v>1</v>
      </c>
      <c r="Q37" s="6">
        <f t="shared" si="14"/>
        <v>0.4375</v>
      </c>
      <c r="R37" s="11">
        <v>1902.01</v>
      </c>
      <c r="S37" s="11">
        <v>1923.57</v>
      </c>
      <c r="T37" s="12">
        <f t="shared" si="8"/>
        <v>21.559999999999945</v>
      </c>
      <c r="U37" s="13">
        <f t="shared" si="9"/>
        <v>0.011335376785610984</v>
      </c>
      <c r="V37" s="6">
        <f t="shared" si="16"/>
        <v>0.4</v>
      </c>
      <c r="X37" s="3">
        <f t="shared" si="10"/>
        <v>1</v>
      </c>
      <c r="Y37" s="3">
        <f t="shared" si="11"/>
        <v>0</v>
      </c>
      <c r="Z37" s="10">
        <f t="shared" si="12"/>
        <v>0</v>
      </c>
      <c r="AA37" s="13">
        <f t="shared" si="13"/>
        <v>0</v>
      </c>
    </row>
    <row r="38" spans="1:27" ht="14.25">
      <c r="A38" s="3">
        <f t="shared" si="19"/>
        <v>36</v>
      </c>
      <c r="B38" s="29">
        <f t="shared" si="20"/>
        <v>41792</v>
      </c>
      <c r="C38" s="5">
        <f>24/41</f>
        <v>0.5853658536585366</v>
      </c>
      <c r="D38" s="5">
        <f>17/41</f>
        <v>0.4146341463414634</v>
      </c>
      <c r="E38" s="6">
        <f t="shared" si="1"/>
        <v>0.17073170731707316</v>
      </c>
      <c r="F38" s="5">
        <v>0.588</v>
      </c>
      <c r="G38" s="5">
        <v>0.596</v>
      </c>
      <c r="H38" s="5">
        <v>0.577</v>
      </c>
      <c r="I38" s="6">
        <f t="shared" si="2"/>
        <v>0.019000000000000017</v>
      </c>
      <c r="J38" s="6">
        <f t="shared" si="24"/>
        <v>0</v>
      </c>
      <c r="M38" s="3">
        <f t="shared" si="4"/>
        <v>0</v>
      </c>
      <c r="N38" s="30">
        <f t="shared" si="25"/>
        <v>0</v>
      </c>
      <c r="O38" s="3">
        <f t="shared" si="26"/>
        <v>1</v>
      </c>
      <c r="P38" s="10">
        <f t="shared" si="7"/>
        <v>1</v>
      </c>
      <c r="Q38" s="6">
        <f t="shared" si="14"/>
        <v>0.45454545454545453</v>
      </c>
      <c r="R38" s="11">
        <v>1923.87</v>
      </c>
      <c r="S38" s="11">
        <v>1949.44</v>
      </c>
      <c r="T38" s="12">
        <f t="shared" si="8"/>
        <v>25.570000000000164</v>
      </c>
      <c r="U38" s="13">
        <f t="shared" si="9"/>
        <v>0.013290918825076624</v>
      </c>
      <c r="V38" s="6">
        <f t="shared" si="16"/>
        <v>0.5</v>
      </c>
      <c r="X38" s="3">
        <f t="shared" si="10"/>
        <v>1</v>
      </c>
      <c r="Y38" s="3">
        <f t="shared" si="11"/>
        <v>0</v>
      </c>
      <c r="Z38" s="10">
        <f t="shared" si="12"/>
        <v>0</v>
      </c>
      <c r="AA38" s="13">
        <f t="shared" si="13"/>
        <v>0</v>
      </c>
    </row>
    <row r="39" spans="1:27" ht="14.25">
      <c r="A39" s="3">
        <f t="shared" si="19"/>
        <v>37</v>
      </c>
      <c r="B39" s="29">
        <f t="shared" si="20"/>
        <v>41799</v>
      </c>
      <c r="C39" s="5">
        <f>13/24</f>
        <v>0.5416666666666666</v>
      </c>
      <c r="D39" s="5">
        <f>11/24</f>
        <v>0.4583333333333333</v>
      </c>
      <c r="E39" s="6">
        <f t="shared" si="1"/>
        <v>0.08333333333333331</v>
      </c>
      <c r="F39" s="5">
        <v>0.629</v>
      </c>
      <c r="G39" s="5">
        <v>0.6920000000000001</v>
      </c>
      <c r="H39" s="5">
        <v>0.555</v>
      </c>
      <c r="I39" s="6">
        <f t="shared" si="2"/>
        <v>0.137</v>
      </c>
      <c r="J39" s="6">
        <f t="shared" si="24"/>
        <v>0</v>
      </c>
      <c r="M39" s="3">
        <f t="shared" si="4"/>
        <v>0</v>
      </c>
      <c r="N39" s="30">
        <f t="shared" si="25"/>
        <v>0</v>
      </c>
      <c r="O39" s="3">
        <f t="shared" si="26"/>
        <v>0</v>
      </c>
      <c r="P39" s="10">
        <f t="shared" si="7"/>
        <v>0</v>
      </c>
      <c r="Q39" s="6">
        <f t="shared" si="14"/>
        <v>0.4411764705882353</v>
      </c>
      <c r="R39" s="11">
        <v>1948.97</v>
      </c>
      <c r="S39" s="11">
        <v>1936.16</v>
      </c>
      <c r="T39" s="12">
        <f t="shared" si="8"/>
        <v>-12.809999999999945</v>
      </c>
      <c r="U39" s="13">
        <f t="shared" si="9"/>
        <v>-0.006572702504399732</v>
      </c>
      <c r="V39" s="6">
        <f t="shared" si="16"/>
        <v>0.5</v>
      </c>
      <c r="X39" s="3">
        <f t="shared" si="10"/>
        <v>1</v>
      </c>
      <c r="Y39" s="3">
        <f t="shared" si="11"/>
        <v>0</v>
      </c>
      <c r="Z39" s="10">
        <f t="shared" si="12"/>
        <v>0</v>
      </c>
      <c r="AA39" s="13">
        <f t="shared" si="13"/>
        <v>0</v>
      </c>
    </row>
    <row r="40" spans="1:27" ht="14.25">
      <c r="A40" s="3">
        <f t="shared" si="19"/>
        <v>38</v>
      </c>
      <c r="B40" s="29">
        <f t="shared" si="20"/>
        <v>41806</v>
      </c>
      <c r="C40" s="5">
        <f>9/22</f>
        <v>0.4090909090909091</v>
      </c>
      <c r="D40" s="5">
        <f>13/22</f>
        <v>0.5909090909090909</v>
      </c>
      <c r="E40" s="6">
        <f t="shared" si="1"/>
        <v>-0.18181818181818182</v>
      </c>
      <c r="F40" s="5">
        <v>0.6</v>
      </c>
      <c r="G40" s="5">
        <v>0.7</v>
      </c>
      <c r="H40" s="5">
        <v>0.531</v>
      </c>
      <c r="I40" s="6">
        <f t="shared" si="2"/>
        <v>0.16899999999999993</v>
      </c>
      <c r="J40" s="6">
        <f t="shared" si="24"/>
        <v>0</v>
      </c>
      <c r="M40" s="3">
        <f t="shared" si="4"/>
        <v>0</v>
      </c>
      <c r="N40" s="30">
        <f t="shared" si="25"/>
        <v>0</v>
      </c>
      <c r="O40" s="3">
        <f t="shared" si="26"/>
        <v>0</v>
      </c>
      <c r="P40" s="10">
        <f t="shared" si="7"/>
        <v>1</v>
      </c>
      <c r="Q40" s="6">
        <f t="shared" si="14"/>
        <v>0.42857142857142855</v>
      </c>
      <c r="R40" s="11">
        <v>1934.84</v>
      </c>
      <c r="S40" s="11">
        <v>1962.87</v>
      </c>
      <c r="T40" s="12">
        <f t="shared" si="8"/>
        <v>28.029999999999973</v>
      </c>
      <c r="U40" s="13">
        <f t="shared" si="9"/>
        <v>0.014486986004010653</v>
      </c>
      <c r="V40" s="6">
        <f t="shared" si="16"/>
        <v>0.5</v>
      </c>
      <c r="X40" s="3">
        <f t="shared" si="10"/>
        <v>0</v>
      </c>
      <c r="Y40" s="3">
        <f t="shared" si="11"/>
        <v>0</v>
      </c>
      <c r="Z40" s="10">
        <f t="shared" si="12"/>
        <v>0</v>
      </c>
      <c r="AA40" s="13">
        <f t="shared" si="13"/>
        <v>0</v>
      </c>
    </row>
    <row r="41" spans="1:27" ht="14.25">
      <c r="A41" s="3">
        <f t="shared" si="19"/>
        <v>39</v>
      </c>
      <c r="B41" s="29">
        <f t="shared" si="20"/>
        <v>41813</v>
      </c>
      <c r="C41" s="5">
        <f>20/35</f>
        <v>0.5714285714285714</v>
      </c>
      <c r="D41" s="5">
        <f>15/35</f>
        <v>0.42857142857142855</v>
      </c>
      <c r="E41" s="6">
        <f t="shared" si="1"/>
        <v>0.14285714285714285</v>
      </c>
      <c r="F41" s="5">
        <v>0.5710000000000001</v>
      </c>
      <c r="G41" s="5">
        <v>0.615</v>
      </c>
      <c r="H41" s="5">
        <v>0.513</v>
      </c>
      <c r="I41" s="6">
        <f t="shared" si="2"/>
        <v>0.10199999999999998</v>
      </c>
      <c r="J41" s="6">
        <f t="shared" si="24"/>
        <v>0</v>
      </c>
      <c r="M41" s="3">
        <f t="shared" si="4"/>
        <v>0</v>
      </c>
      <c r="N41" s="30">
        <f t="shared" si="25"/>
        <v>0</v>
      </c>
      <c r="O41" s="3">
        <f t="shared" si="26"/>
        <v>0</v>
      </c>
      <c r="P41" s="10">
        <f t="shared" si="7"/>
        <v>0</v>
      </c>
      <c r="Q41" s="6">
        <f t="shared" si="14"/>
        <v>0.4166666666666667</v>
      </c>
      <c r="R41" s="11">
        <v>1962.92</v>
      </c>
      <c r="S41" s="11">
        <v>1960.96</v>
      </c>
      <c r="T41" s="12">
        <f t="shared" si="8"/>
        <v>-1.9600000000000364</v>
      </c>
      <c r="U41" s="13">
        <f t="shared" si="9"/>
        <v>-0.0009985124202718583</v>
      </c>
      <c r="V41" s="6">
        <f t="shared" si="16"/>
        <v>0.4</v>
      </c>
      <c r="X41" s="3">
        <f t="shared" si="10"/>
        <v>1</v>
      </c>
      <c r="Y41" s="3">
        <f t="shared" si="11"/>
        <v>0</v>
      </c>
      <c r="Z41" s="10">
        <f t="shared" si="12"/>
        <v>0</v>
      </c>
      <c r="AA41" s="13">
        <f t="shared" si="13"/>
        <v>0</v>
      </c>
    </row>
    <row r="42" spans="1:27" ht="14.25">
      <c r="A42" s="3">
        <f t="shared" si="19"/>
        <v>40</v>
      </c>
      <c r="B42" s="29">
        <f t="shared" si="20"/>
        <v>41820</v>
      </c>
      <c r="C42" s="5">
        <f>34/48</f>
        <v>0.7083333333333334</v>
      </c>
      <c r="D42" s="5">
        <f>14/48</f>
        <v>0.2916666666666667</v>
      </c>
      <c r="E42" s="6">
        <f t="shared" si="1"/>
        <v>0.4166666666666667</v>
      </c>
      <c r="F42" s="5">
        <v>0.552</v>
      </c>
      <c r="G42" s="5">
        <v>0.615</v>
      </c>
      <c r="H42" s="5">
        <v>0.4</v>
      </c>
      <c r="I42" s="6">
        <f t="shared" si="2"/>
        <v>0.21499999999999997</v>
      </c>
      <c r="J42" s="6">
        <f t="shared" si="24"/>
        <v>0</v>
      </c>
      <c r="M42" s="3">
        <f t="shared" si="4"/>
        <v>0</v>
      </c>
      <c r="N42" s="30">
        <f t="shared" si="25"/>
        <v>0</v>
      </c>
      <c r="O42" s="3">
        <f t="shared" si="26"/>
        <v>1</v>
      </c>
      <c r="P42" s="10">
        <f t="shared" si="7"/>
        <v>1</v>
      </c>
      <c r="Q42" s="6">
        <f t="shared" si="14"/>
        <v>0.43243243243243246</v>
      </c>
      <c r="R42" s="11">
        <v>1960.79</v>
      </c>
      <c r="S42" s="11">
        <v>1985.44</v>
      </c>
      <c r="T42" s="12">
        <f t="shared" si="8"/>
        <v>24.65000000000009</v>
      </c>
      <c r="U42" s="13">
        <f t="shared" si="9"/>
        <v>0.012571463542755772</v>
      </c>
      <c r="V42" s="6">
        <f t="shared" si="16"/>
        <v>0.45454545454545453</v>
      </c>
      <c r="X42" s="3">
        <f t="shared" si="10"/>
        <v>1</v>
      </c>
      <c r="Y42" s="3">
        <f t="shared" si="11"/>
        <v>0</v>
      </c>
      <c r="Z42" s="10">
        <f t="shared" si="12"/>
        <v>0</v>
      </c>
      <c r="AA42" s="13">
        <f t="shared" si="13"/>
        <v>0</v>
      </c>
    </row>
    <row r="43" spans="1:27" ht="14.25">
      <c r="A43" s="3">
        <f t="shared" si="19"/>
        <v>41</v>
      </c>
      <c r="B43" s="29">
        <f t="shared" si="20"/>
        <v>41827</v>
      </c>
      <c r="C43" s="5">
        <f>81/116</f>
        <v>0.6982758620689655</v>
      </c>
      <c r="D43" s="5">
        <f>35/116</f>
        <v>0.3017241379310345</v>
      </c>
      <c r="E43" s="6">
        <f t="shared" si="1"/>
        <v>0.39655172413793105</v>
      </c>
      <c r="F43" s="5">
        <v>0.592</v>
      </c>
      <c r="G43" s="5">
        <v>0.582</v>
      </c>
      <c r="H43" s="5">
        <v>0.614</v>
      </c>
      <c r="I43" s="6">
        <f t="shared" si="2"/>
        <v>-0.03200000000000003</v>
      </c>
      <c r="J43" s="6">
        <f t="shared" si="24"/>
        <v>0</v>
      </c>
      <c r="M43" s="3">
        <f t="shared" si="4"/>
        <v>0</v>
      </c>
      <c r="N43" s="30">
        <f t="shared" si="25"/>
        <v>0</v>
      </c>
      <c r="O43" s="3">
        <f t="shared" si="26"/>
        <v>0</v>
      </c>
      <c r="P43" s="10">
        <f t="shared" si="7"/>
        <v>0</v>
      </c>
      <c r="Q43" s="6">
        <f t="shared" si="14"/>
        <v>0.42105263157894735</v>
      </c>
      <c r="R43" s="11">
        <v>1984.22</v>
      </c>
      <c r="S43" s="11">
        <v>1967.57</v>
      </c>
      <c r="T43" s="12">
        <f t="shared" si="8"/>
        <v>-16.65000000000009</v>
      </c>
      <c r="U43" s="13">
        <f t="shared" si="9"/>
        <v>-0.008391206620233689</v>
      </c>
      <c r="V43" s="6">
        <f t="shared" si="16"/>
        <v>0.45454545454545453</v>
      </c>
      <c r="X43" s="3">
        <f t="shared" si="10"/>
        <v>1</v>
      </c>
      <c r="Y43" s="3">
        <f t="shared" si="11"/>
        <v>1</v>
      </c>
      <c r="Z43" s="10">
        <f t="shared" si="12"/>
        <v>0</v>
      </c>
      <c r="AA43" s="13">
        <f t="shared" si="13"/>
        <v>-0.008391206620233689</v>
      </c>
    </row>
    <row r="44" spans="1:27" ht="14.25">
      <c r="A44" s="3">
        <f t="shared" si="19"/>
        <v>42</v>
      </c>
      <c r="B44" s="29">
        <f t="shared" si="20"/>
        <v>41834</v>
      </c>
      <c r="C44" s="5">
        <v>0.564</v>
      </c>
      <c r="D44" s="5">
        <v>0.436</v>
      </c>
      <c r="E44" s="6">
        <f t="shared" si="1"/>
        <v>0.12799999999999995</v>
      </c>
      <c r="F44" s="5">
        <v>0.515</v>
      </c>
      <c r="G44" s="5">
        <v>0.542</v>
      </c>
      <c r="H44" s="5">
        <v>0.47900000000000004</v>
      </c>
      <c r="I44" s="6">
        <f t="shared" si="2"/>
        <v>0.063</v>
      </c>
      <c r="J44" s="6">
        <f t="shared" si="24"/>
        <v>0</v>
      </c>
      <c r="M44" s="3">
        <f t="shared" si="4"/>
        <v>0</v>
      </c>
      <c r="N44" s="30">
        <f t="shared" si="25"/>
        <v>0</v>
      </c>
      <c r="O44" s="3">
        <f t="shared" si="26"/>
        <v>1</v>
      </c>
      <c r="P44" s="10">
        <f t="shared" si="7"/>
        <v>1</v>
      </c>
      <c r="Q44" s="6">
        <f t="shared" si="14"/>
        <v>0.4358974358974359</v>
      </c>
      <c r="R44" s="11">
        <v>1969.86</v>
      </c>
      <c r="S44" s="11">
        <v>1978.22</v>
      </c>
      <c r="T44" s="12">
        <f t="shared" si="8"/>
        <v>8.360000000000127</v>
      </c>
      <c r="U44" s="13">
        <f t="shared" si="9"/>
        <v>0.004243956423299182</v>
      </c>
      <c r="V44" s="6">
        <f t="shared" si="16"/>
        <v>0.45454545454545453</v>
      </c>
      <c r="X44" s="3">
        <f t="shared" si="10"/>
        <v>1</v>
      </c>
      <c r="Y44" s="3">
        <f t="shared" si="11"/>
        <v>0</v>
      </c>
      <c r="Z44" s="10">
        <f t="shared" si="12"/>
        <v>0</v>
      </c>
      <c r="AA44" s="13">
        <f t="shared" si="13"/>
        <v>0</v>
      </c>
    </row>
    <row r="45" spans="1:27" ht="14.25">
      <c r="A45" s="3">
        <f t="shared" si="19"/>
        <v>43</v>
      </c>
      <c r="B45" s="29">
        <f t="shared" si="20"/>
        <v>41841</v>
      </c>
      <c r="C45" s="5">
        <v>0.488</v>
      </c>
      <c r="D45" s="5">
        <v>0.512</v>
      </c>
      <c r="E45" s="6">
        <f t="shared" si="1"/>
        <v>-0.02400000000000002</v>
      </c>
      <c r="F45" s="5">
        <v>0.605</v>
      </c>
      <c r="G45" s="5">
        <v>0.59</v>
      </c>
      <c r="H45" s="5">
        <v>0.619</v>
      </c>
      <c r="I45" s="6">
        <f t="shared" si="2"/>
        <v>-0.029000000000000026</v>
      </c>
      <c r="J45" s="6">
        <f t="shared" si="24"/>
        <v>0</v>
      </c>
      <c r="M45" s="3">
        <f t="shared" si="4"/>
        <v>0</v>
      </c>
      <c r="N45" s="30">
        <f t="shared" si="25"/>
        <v>0</v>
      </c>
      <c r="O45" s="3">
        <f t="shared" si="26"/>
        <v>0</v>
      </c>
      <c r="P45" s="10">
        <f t="shared" si="7"/>
        <v>1</v>
      </c>
      <c r="Q45" s="6">
        <f t="shared" si="14"/>
        <v>0.425</v>
      </c>
      <c r="R45" s="11">
        <v>1976.93</v>
      </c>
      <c r="S45" s="11">
        <v>1978.34</v>
      </c>
      <c r="T45" s="12">
        <f t="shared" si="8"/>
        <v>1.4099999999998545</v>
      </c>
      <c r="U45" s="13">
        <f t="shared" si="9"/>
        <v>0.0007132270743020008</v>
      </c>
      <c r="V45" s="6">
        <f t="shared" si="16"/>
        <v>0.45454545454545453</v>
      </c>
      <c r="X45" s="3">
        <f t="shared" si="10"/>
        <v>0</v>
      </c>
      <c r="Y45" s="3">
        <f t="shared" si="11"/>
        <v>1</v>
      </c>
      <c r="Z45" s="10">
        <f t="shared" si="12"/>
        <v>0</v>
      </c>
      <c r="AA45" s="13">
        <f t="shared" si="13"/>
        <v>0</v>
      </c>
    </row>
    <row r="46" spans="1:27" ht="14.25">
      <c r="A46" s="3">
        <f t="shared" si="19"/>
        <v>44</v>
      </c>
      <c r="B46" s="29">
        <f t="shared" si="20"/>
        <v>41848</v>
      </c>
      <c r="C46" s="5">
        <v>0.46</v>
      </c>
      <c r="D46" s="5">
        <v>0.54</v>
      </c>
      <c r="E46" s="6">
        <f t="shared" si="1"/>
        <v>-0.08000000000000002</v>
      </c>
      <c r="F46" s="5">
        <v>0.553</v>
      </c>
      <c r="G46" s="5">
        <v>0.605</v>
      </c>
      <c r="H46" s="5">
        <v>0.511</v>
      </c>
      <c r="I46" s="6">
        <f t="shared" si="2"/>
        <v>0.09399999999999997</v>
      </c>
      <c r="J46" s="6">
        <f t="shared" si="24"/>
        <v>0</v>
      </c>
      <c r="M46" s="3">
        <f t="shared" si="4"/>
        <v>0</v>
      </c>
      <c r="N46" s="30">
        <f t="shared" si="25"/>
        <v>0</v>
      </c>
      <c r="O46" s="3">
        <f t="shared" si="26"/>
        <v>1</v>
      </c>
      <c r="P46" s="10">
        <f t="shared" si="7"/>
        <v>0</v>
      </c>
      <c r="Q46" s="6">
        <f t="shared" si="14"/>
        <v>0.43902439024390244</v>
      </c>
      <c r="R46" s="11">
        <v>1978.25</v>
      </c>
      <c r="S46" s="11">
        <v>1925.15</v>
      </c>
      <c r="T46" s="12">
        <f t="shared" si="8"/>
        <v>-53.09999999999991</v>
      </c>
      <c r="U46" s="13">
        <f t="shared" si="9"/>
        <v>-0.026841905724756684</v>
      </c>
      <c r="V46" s="6">
        <f t="shared" si="16"/>
        <v>0.45454545454545453</v>
      </c>
      <c r="X46" s="3">
        <f t="shared" si="10"/>
        <v>0</v>
      </c>
      <c r="Y46" s="3">
        <f t="shared" si="11"/>
        <v>0</v>
      </c>
      <c r="Z46" s="10">
        <f t="shared" si="12"/>
        <v>0</v>
      </c>
      <c r="AA46" s="13">
        <f t="shared" si="13"/>
        <v>0</v>
      </c>
    </row>
    <row r="47" spans="1:27" ht="14.25">
      <c r="A47" s="3">
        <f t="shared" si="19"/>
        <v>45</v>
      </c>
      <c r="B47" s="29">
        <f t="shared" si="20"/>
        <v>41855</v>
      </c>
      <c r="C47" s="5">
        <v>0.42100000000000004</v>
      </c>
      <c r="D47" s="5">
        <v>0.579</v>
      </c>
      <c r="E47" s="6">
        <f t="shared" si="1"/>
        <v>-0.15799999999999992</v>
      </c>
      <c r="F47" s="5">
        <v>0.555</v>
      </c>
      <c r="G47" s="5">
        <v>0.613</v>
      </c>
      <c r="H47" s="5">
        <v>0.514</v>
      </c>
      <c r="I47" s="6">
        <f t="shared" si="2"/>
        <v>0.09899999999999998</v>
      </c>
      <c r="J47" s="6">
        <f t="shared" si="24"/>
        <v>0</v>
      </c>
      <c r="M47" s="3">
        <f t="shared" si="4"/>
        <v>0</v>
      </c>
      <c r="N47" s="30">
        <f t="shared" si="25"/>
        <v>0</v>
      </c>
      <c r="O47" s="3">
        <f t="shared" si="26"/>
        <v>0</v>
      </c>
      <c r="P47" s="10">
        <f t="shared" si="7"/>
        <v>1</v>
      </c>
      <c r="Q47" s="6">
        <f t="shared" si="14"/>
        <v>0.42857142857142855</v>
      </c>
      <c r="R47" s="11">
        <v>1926.62</v>
      </c>
      <c r="S47" s="11">
        <v>1931.59</v>
      </c>
      <c r="T47" s="12">
        <f t="shared" si="8"/>
        <v>4.970000000000027</v>
      </c>
      <c r="U47" s="13">
        <f t="shared" si="9"/>
        <v>0.002579647257892074</v>
      </c>
      <c r="V47" s="6">
        <f t="shared" si="16"/>
        <v>0.45454545454545453</v>
      </c>
      <c r="X47" s="3">
        <f t="shared" si="10"/>
        <v>0</v>
      </c>
      <c r="Y47" s="3">
        <f t="shared" si="11"/>
        <v>0</v>
      </c>
      <c r="Z47" s="10">
        <f t="shared" si="12"/>
        <v>0</v>
      </c>
      <c r="AA47" s="13">
        <f t="shared" si="13"/>
        <v>0</v>
      </c>
    </row>
    <row r="48" spans="1:27" ht="14.25">
      <c r="A48" s="3">
        <f t="shared" si="19"/>
        <v>46</v>
      </c>
      <c r="B48" s="29">
        <f t="shared" si="20"/>
        <v>41862</v>
      </c>
      <c r="C48" s="5">
        <f>28/52</f>
        <v>0.5384615384615384</v>
      </c>
      <c r="D48" s="5">
        <f aca="true" t="shared" si="27" ref="D48:D264">1-C48</f>
        <v>0.46153846153846156</v>
      </c>
      <c r="E48" s="6">
        <f t="shared" si="1"/>
        <v>0.07692307692307687</v>
      </c>
      <c r="F48" s="5">
        <v>0.602</v>
      </c>
      <c r="G48" s="5">
        <v>0.604</v>
      </c>
      <c r="H48" s="5">
        <v>0.6</v>
      </c>
      <c r="I48" s="6">
        <f t="shared" si="2"/>
        <v>0.0040000000000000036</v>
      </c>
      <c r="J48" s="6">
        <f t="shared" si="24"/>
        <v>0</v>
      </c>
      <c r="M48" s="3">
        <f t="shared" si="4"/>
        <v>0</v>
      </c>
      <c r="N48" s="30">
        <f t="shared" si="25"/>
        <v>0</v>
      </c>
      <c r="O48" s="3">
        <f t="shared" si="26"/>
        <v>1</v>
      </c>
      <c r="P48" s="10">
        <f t="shared" si="7"/>
        <v>1</v>
      </c>
      <c r="Q48" s="6">
        <f t="shared" si="14"/>
        <v>0.4418604651162791</v>
      </c>
      <c r="R48" s="11">
        <v>1933.43</v>
      </c>
      <c r="S48" s="11">
        <v>1955.06</v>
      </c>
      <c r="T48" s="12">
        <f t="shared" si="8"/>
        <v>21.62999999999988</v>
      </c>
      <c r="U48" s="13">
        <f t="shared" si="9"/>
        <v>0.011187371665899401</v>
      </c>
      <c r="V48" s="6">
        <f t="shared" si="16"/>
        <v>0.45454545454545453</v>
      </c>
      <c r="X48" s="3">
        <f t="shared" si="10"/>
        <v>1</v>
      </c>
      <c r="Y48" s="3">
        <f t="shared" si="11"/>
        <v>0</v>
      </c>
      <c r="Z48" s="10">
        <f t="shared" si="12"/>
        <v>0</v>
      </c>
      <c r="AA48" s="13">
        <f t="shared" si="13"/>
        <v>0</v>
      </c>
    </row>
    <row r="49" spans="1:27" ht="14.25">
      <c r="A49" s="3">
        <f t="shared" si="19"/>
        <v>47</v>
      </c>
      <c r="B49" s="29">
        <f t="shared" si="20"/>
        <v>41869</v>
      </c>
      <c r="C49" s="5">
        <f>34/59</f>
        <v>0.576271186440678</v>
      </c>
      <c r="D49" s="5">
        <f t="shared" si="27"/>
        <v>0.423728813559322</v>
      </c>
      <c r="E49" s="6">
        <f t="shared" si="1"/>
        <v>0.15254237288135597</v>
      </c>
      <c r="F49" s="5">
        <v>0.5710000000000001</v>
      </c>
      <c r="G49" s="5">
        <v>0.621</v>
      </c>
      <c r="H49" s="5">
        <v>0.504</v>
      </c>
      <c r="I49" s="6">
        <f t="shared" si="2"/>
        <v>0.11699999999999999</v>
      </c>
      <c r="J49" s="6">
        <f t="shared" si="24"/>
        <v>0</v>
      </c>
      <c r="M49" s="3">
        <f t="shared" si="4"/>
        <v>0</v>
      </c>
      <c r="N49" s="30">
        <f t="shared" si="25"/>
        <v>0</v>
      </c>
      <c r="O49" s="3">
        <f t="shared" si="26"/>
        <v>1</v>
      </c>
      <c r="P49" s="10">
        <f t="shared" si="7"/>
        <v>1</v>
      </c>
      <c r="Q49" s="6">
        <f t="shared" si="14"/>
        <v>0.45454545454545453</v>
      </c>
      <c r="R49" s="11">
        <v>1958.36</v>
      </c>
      <c r="S49" s="11">
        <v>1988.4</v>
      </c>
      <c r="T49" s="12">
        <f t="shared" si="8"/>
        <v>30.04000000000019</v>
      </c>
      <c r="U49" s="13">
        <f t="shared" si="9"/>
        <v>0.015339365591617575</v>
      </c>
      <c r="V49" s="6">
        <f t="shared" si="16"/>
        <v>0.45454545454545453</v>
      </c>
      <c r="X49" s="3">
        <f t="shared" si="10"/>
        <v>1</v>
      </c>
      <c r="Y49" s="3">
        <f t="shared" si="11"/>
        <v>0</v>
      </c>
      <c r="Z49" s="10">
        <f t="shared" si="12"/>
        <v>0</v>
      </c>
      <c r="AA49" s="13">
        <f t="shared" si="13"/>
        <v>0</v>
      </c>
    </row>
    <row r="50" spans="1:27" ht="14.25">
      <c r="A50" s="3">
        <f t="shared" si="19"/>
        <v>48</v>
      </c>
      <c r="B50" s="29">
        <f t="shared" si="20"/>
        <v>41876</v>
      </c>
      <c r="C50" s="5">
        <f>32/60</f>
        <v>0.5333333333333333</v>
      </c>
      <c r="D50" s="5">
        <f t="shared" si="27"/>
        <v>0.4666666666666667</v>
      </c>
      <c r="E50" s="6">
        <f t="shared" si="1"/>
        <v>0.06666666666666665</v>
      </c>
      <c r="F50" s="5">
        <v>0.558</v>
      </c>
      <c r="G50" s="5">
        <v>0.559</v>
      </c>
      <c r="H50" s="5">
        <v>0.557</v>
      </c>
      <c r="I50" s="6">
        <f t="shared" si="2"/>
        <v>0.0020000000000000018</v>
      </c>
      <c r="J50" s="6">
        <f t="shared" si="24"/>
        <v>0</v>
      </c>
      <c r="M50" s="3">
        <f t="shared" si="4"/>
        <v>0</v>
      </c>
      <c r="N50" s="30">
        <f t="shared" si="25"/>
        <v>0</v>
      </c>
      <c r="O50" s="3">
        <f t="shared" si="26"/>
        <v>1</v>
      </c>
      <c r="P50" s="10">
        <f t="shared" si="7"/>
        <v>1</v>
      </c>
      <c r="Q50" s="6">
        <f t="shared" si="14"/>
        <v>0.4666666666666667</v>
      </c>
      <c r="R50" s="11">
        <v>1991.74</v>
      </c>
      <c r="S50" s="11">
        <v>2003.37</v>
      </c>
      <c r="T50" s="12">
        <f t="shared" si="8"/>
        <v>11.629999999999882</v>
      </c>
      <c r="U50" s="13">
        <f t="shared" si="9"/>
        <v>0.005839115547209918</v>
      </c>
      <c r="V50" s="6">
        <f t="shared" si="16"/>
        <v>0.5454545454545454</v>
      </c>
      <c r="X50" s="3">
        <f t="shared" si="10"/>
        <v>1</v>
      </c>
      <c r="Y50" s="3">
        <f t="shared" si="11"/>
        <v>0</v>
      </c>
      <c r="Z50" s="10">
        <f t="shared" si="12"/>
        <v>0</v>
      </c>
      <c r="AA50" s="13">
        <f t="shared" si="13"/>
        <v>0</v>
      </c>
    </row>
    <row r="51" spans="1:27" ht="14.25">
      <c r="A51" s="3">
        <f t="shared" si="19"/>
        <v>49</v>
      </c>
      <c r="B51" s="29">
        <f t="shared" si="20"/>
        <v>41883</v>
      </c>
      <c r="C51" s="5">
        <f>47/97</f>
        <v>0.4845360824742268</v>
      </c>
      <c r="D51" s="5">
        <f t="shared" si="27"/>
        <v>0.5154639175257731</v>
      </c>
      <c r="E51" s="6">
        <f t="shared" si="1"/>
        <v>-0.030927835051546337</v>
      </c>
      <c r="F51" s="5">
        <v>0.614</v>
      </c>
      <c r="G51" s="5">
        <v>0.706</v>
      </c>
      <c r="H51" s="5">
        <v>0.528</v>
      </c>
      <c r="I51" s="6">
        <f t="shared" si="2"/>
        <v>0.17799999999999994</v>
      </c>
      <c r="J51" s="6">
        <f t="shared" si="24"/>
        <v>0</v>
      </c>
      <c r="M51" s="3">
        <f t="shared" si="4"/>
        <v>0</v>
      </c>
      <c r="N51" s="30">
        <f t="shared" si="25"/>
        <v>0</v>
      </c>
      <c r="O51" s="3">
        <f t="shared" si="26"/>
        <v>0</v>
      </c>
      <c r="P51" s="10">
        <f t="shared" si="7"/>
        <v>1</v>
      </c>
      <c r="Q51" s="6">
        <f t="shared" si="14"/>
        <v>0.45652173913043476</v>
      </c>
      <c r="R51" s="11">
        <v>2004.07</v>
      </c>
      <c r="S51" s="11">
        <v>2007.71</v>
      </c>
      <c r="T51" s="12">
        <f t="shared" si="8"/>
        <v>3.6400000000001</v>
      </c>
      <c r="U51" s="13">
        <f t="shared" si="9"/>
        <v>0.001816303821722844</v>
      </c>
      <c r="V51" s="6">
        <f t="shared" si="16"/>
        <v>0.5454545454545454</v>
      </c>
      <c r="X51" s="3">
        <f t="shared" si="10"/>
        <v>0</v>
      </c>
      <c r="Y51" s="3">
        <f t="shared" si="11"/>
        <v>0</v>
      </c>
      <c r="Z51" s="10">
        <f t="shared" si="12"/>
        <v>0</v>
      </c>
      <c r="AA51" s="13">
        <f t="shared" si="13"/>
        <v>0</v>
      </c>
    </row>
    <row r="52" spans="1:27" ht="14.25">
      <c r="A52" s="3">
        <f t="shared" si="19"/>
        <v>50</v>
      </c>
      <c r="B52" s="29">
        <f t="shared" si="20"/>
        <v>41890</v>
      </c>
      <c r="C52" s="5">
        <f>34/65</f>
        <v>0.5230769230769231</v>
      </c>
      <c r="D52" s="5">
        <f t="shared" si="27"/>
        <v>0.4769230769230769</v>
      </c>
      <c r="E52" s="6">
        <f t="shared" si="1"/>
        <v>0.04615384615384621</v>
      </c>
      <c r="F52" s="5">
        <v>0.577</v>
      </c>
      <c r="G52" s="5">
        <v>0.588</v>
      </c>
      <c r="H52" s="5">
        <v>0.5650000000000001</v>
      </c>
      <c r="I52" s="6">
        <f t="shared" si="2"/>
        <v>0.02299999999999991</v>
      </c>
      <c r="J52" s="6">
        <f t="shared" si="24"/>
        <v>0</v>
      </c>
      <c r="M52" s="3">
        <f t="shared" si="4"/>
        <v>0</v>
      </c>
      <c r="N52" s="30">
        <f t="shared" si="25"/>
        <v>0</v>
      </c>
      <c r="O52" s="3">
        <f t="shared" si="26"/>
        <v>0</v>
      </c>
      <c r="P52" s="10">
        <f t="shared" si="7"/>
        <v>0</v>
      </c>
      <c r="Q52" s="6">
        <f t="shared" si="14"/>
        <v>0.44680851063829785</v>
      </c>
      <c r="R52" s="11">
        <v>2007.17</v>
      </c>
      <c r="S52" s="11">
        <v>1985.54</v>
      </c>
      <c r="T52" s="12">
        <f t="shared" si="8"/>
        <v>-21.63000000000011</v>
      </c>
      <c r="U52" s="13">
        <f t="shared" si="9"/>
        <v>-0.01077636672528989</v>
      </c>
      <c r="V52" s="6">
        <f t="shared" si="16"/>
        <v>0.5454545454545454</v>
      </c>
      <c r="X52" s="3">
        <f t="shared" si="10"/>
        <v>1</v>
      </c>
      <c r="Y52" s="3">
        <f t="shared" si="11"/>
        <v>0</v>
      </c>
      <c r="Z52" s="10">
        <f t="shared" si="12"/>
        <v>0</v>
      </c>
      <c r="AA52" s="13">
        <f t="shared" si="13"/>
        <v>0</v>
      </c>
    </row>
    <row r="53" spans="1:27" ht="14.25">
      <c r="A53" s="3">
        <f t="shared" si="19"/>
        <v>51</v>
      </c>
      <c r="B53" s="29">
        <f t="shared" si="20"/>
        <v>41897</v>
      </c>
      <c r="C53" s="5">
        <f>26/67</f>
        <v>0.3880597014925373</v>
      </c>
      <c r="D53" s="5">
        <f t="shared" si="27"/>
        <v>0.6119402985074627</v>
      </c>
      <c r="E53" s="6">
        <f t="shared" si="1"/>
        <v>-0.22388059701492535</v>
      </c>
      <c r="F53" s="5">
        <v>0.602</v>
      </c>
      <c r="G53" s="5">
        <v>0.615</v>
      </c>
      <c r="H53" s="5">
        <v>0.593</v>
      </c>
      <c r="I53" s="6">
        <f t="shared" si="2"/>
        <v>0.02200000000000002</v>
      </c>
      <c r="J53" s="6">
        <f t="shared" si="24"/>
        <v>0</v>
      </c>
      <c r="M53" s="3">
        <f t="shared" si="4"/>
        <v>0</v>
      </c>
      <c r="N53" s="30">
        <f t="shared" si="25"/>
        <v>0</v>
      </c>
      <c r="O53" s="3">
        <f t="shared" si="26"/>
        <v>0</v>
      </c>
      <c r="P53" s="10">
        <f t="shared" si="7"/>
        <v>1</v>
      </c>
      <c r="Q53" s="6">
        <f t="shared" si="14"/>
        <v>0.4375</v>
      </c>
      <c r="R53" s="11">
        <v>1986.04</v>
      </c>
      <c r="S53" s="11">
        <v>2010.4</v>
      </c>
      <c r="T53" s="12">
        <f t="shared" si="8"/>
        <v>24.360000000000127</v>
      </c>
      <c r="U53" s="13">
        <f t="shared" si="9"/>
        <v>0.01226561398561969</v>
      </c>
      <c r="V53" s="6">
        <f t="shared" si="16"/>
        <v>0.45454545454545453</v>
      </c>
      <c r="X53" s="3">
        <f t="shared" si="10"/>
        <v>0</v>
      </c>
      <c r="Y53" s="3">
        <f t="shared" si="11"/>
        <v>0</v>
      </c>
      <c r="Z53" s="10">
        <f t="shared" si="12"/>
        <v>0</v>
      </c>
      <c r="AA53" s="13">
        <f t="shared" si="13"/>
        <v>0</v>
      </c>
    </row>
    <row r="54" spans="1:27" ht="14.25">
      <c r="A54" s="3">
        <f t="shared" si="19"/>
        <v>52</v>
      </c>
      <c r="B54" s="29">
        <f t="shared" si="20"/>
        <v>41904</v>
      </c>
      <c r="C54" s="5">
        <f>38/67</f>
        <v>0.5671641791044776</v>
      </c>
      <c r="D54" s="5">
        <f t="shared" si="27"/>
        <v>0.4328358208955224</v>
      </c>
      <c r="E54" s="6">
        <f t="shared" si="1"/>
        <v>0.13432835820895517</v>
      </c>
      <c r="F54" s="5">
        <v>0.63</v>
      </c>
      <c r="G54" s="5">
        <v>0.605</v>
      </c>
      <c r="H54" s="5">
        <v>0.662</v>
      </c>
      <c r="I54" s="6">
        <f t="shared" si="2"/>
        <v>-0.05700000000000005</v>
      </c>
      <c r="J54" s="6">
        <f t="shared" si="24"/>
        <v>0</v>
      </c>
      <c r="M54" s="3">
        <f t="shared" si="4"/>
        <v>0</v>
      </c>
      <c r="N54" s="30">
        <f t="shared" si="25"/>
        <v>0</v>
      </c>
      <c r="O54" s="3">
        <f t="shared" si="26"/>
        <v>0</v>
      </c>
      <c r="P54" s="10">
        <f t="shared" si="7"/>
        <v>0</v>
      </c>
      <c r="Q54" s="6">
        <f t="shared" si="14"/>
        <v>0.42857142857142855</v>
      </c>
      <c r="R54" s="11">
        <v>2009.08</v>
      </c>
      <c r="S54" s="11">
        <v>1982.85</v>
      </c>
      <c r="T54" s="12">
        <f t="shared" si="8"/>
        <v>-26.230000000000018</v>
      </c>
      <c r="U54" s="13">
        <f t="shared" si="9"/>
        <v>-0.013055726999422632</v>
      </c>
      <c r="V54" s="6">
        <f t="shared" si="16"/>
        <v>0.45454545454545453</v>
      </c>
      <c r="W54" s="6">
        <f aca="true" t="shared" si="28" ref="W54:W263">AVERAGE(O4:O54)</f>
        <v>0.42857142857142855</v>
      </c>
      <c r="X54" s="3">
        <f t="shared" si="10"/>
        <v>1</v>
      </c>
      <c r="Y54" s="3">
        <f t="shared" si="11"/>
        <v>1</v>
      </c>
      <c r="Z54" s="10">
        <f t="shared" si="12"/>
        <v>0</v>
      </c>
      <c r="AA54" s="13">
        <f t="shared" si="13"/>
        <v>-0.013055726999422632</v>
      </c>
    </row>
    <row r="55" spans="1:27" ht="14.25">
      <c r="A55" s="3">
        <f t="shared" si="19"/>
        <v>53</v>
      </c>
      <c r="B55" s="29">
        <f t="shared" si="20"/>
        <v>41911</v>
      </c>
      <c r="C55" s="5">
        <f>39/85</f>
        <v>0.4588235294117647</v>
      </c>
      <c r="D55" s="5">
        <f t="shared" si="27"/>
        <v>0.5411764705882354</v>
      </c>
      <c r="E55" s="6">
        <f t="shared" si="1"/>
        <v>-0.08235294117647068</v>
      </c>
      <c r="F55" s="5">
        <v>0.638</v>
      </c>
      <c r="G55" s="5">
        <v>0.633</v>
      </c>
      <c r="H55" s="5">
        <v>0.642</v>
      </c>
      <c r="I55" s="6">
        <f t="shared" si="2"/>
        <v>-0.009000000000000008</v>
      </c>
      <c r="J55" s="6">
        <f t="shared" si="24"/>
        <v>0</v>
      </c>
      <c r="M55" s="3">
        <f t="shared" si="4"/>
        <v>0</v>
      </c>
      <c r="N55" s="30">
        <f t="shared" si="25"/>
        <v>0</v>
      </c>
      <c r="O55" s="3">
        <f t="shared" si="26"/>
        <v>1</v>
      </c>
      <c r="P55" s="10">
        <f t="shared" si="7"/>
        <v>0</v>
      </c>
      <c r="Q55" s="6">
        <f t="shared" si="14"/>
        <v>0.44</v>
      </c>
      <c r="R55" s="11">
        <v>1978.96</v>
      </c>
      <c r="S55" s="11">
        <v>1967.9</v>
      </c>
      <c r="T55" s="12">
        <f t="shared" si="8"/>
        <v>-11.059999999999945</v>
      </c>
      <c r="U55" s="13">
        <f t="shared" si="9"/>
        <v>-0.005588794114080095</v>
      </c>
      <c r="V55" s="6">
        <f t="shared" si="16"/>
        <v>0.45454545454545453</v>
      </c>
      <c r="W55" s="6">
        <f t="shared" si="28"/>
        <v>0.4489795918367347</v>
      </c>
      <c r="X55" s="3">
        <f t="shared" si="10"/>
        <v>0</v>
      </c>
      <c r="Y55" s="3">
        <f t="shared" si="11"/>
        <v>1</v>
      </c>
      <c r="Z55" s="10">
        <f t="shared" si="12"/>
        <v>0</v>
      </c>
      <c r="AA55" s="13">
        <f t="shared" si="13"/>
        <v>0</v>
      </c>
    </row>
    <row r="56" spans="1:27" ht="14.25">
      <c r="A56" s="3">
        <f t="shared" si="19"/>
        <v>54</v>
      </c>
      <c r="B56" s="29">
        <f t="shared" si="20"/>
        <v>41918</v>
      </c>
      <c r="C56" s="5">
        <f>36/62</f>
        <v>0.5806451612903226</v>
      </c>
      <c r="D56" s="5">
        <f t="shared" si="27"/>
        <v>0.4193548387096774</v>
      </c>
      <c r="E56" s="6">
        <f t="shared" si="1"/>
        <v>0.16129032258064524</v>
      </c>
      <c r="F56" s="5">
        <v>0.64</v>
      </c>
      <c r="G56" s="5">
        <v>0.622</v>
      </c>
      <c r="H56" s="5">
        <v>0.665</v>
      </c>
      <c r="I56" s="6">
        <f t="shared" si="2"/>
        <v>-0.04300000000000004</v>
      </c>
      <c r="J56" s="6">
        <f t="shared" si="24"/>
        <v>0</v>
      </c>
      <c r="M56" s="3">
        <f t="shared" si="4"/>
        <v>0</v>
      </c>
      <c r="N56" s="30">
        <f t="shared" si="25"/>
        <v>0</v>
      </c>
      <c r="O56" s="3">
        <f t="shared" si="26"/>
        <v>0</v>
      </c>
      <c r="P56" s="10">
        <f t="shared" si="7"/>
        <v>0</v>
      </c>
      <c r="Q56" s="6">
        <f t="shared" si="14"/>
        <v>0.43137254901960786</v>
      </c>
      <c r="R56" s="11">
        <v>1970.01</v>
      </c>
      <c r="S56" s="11">
        <v>1906.13</v>
      </c>
      <c r="T56" s="12">
        <f t="shared" si="8"/>
        <v>-63.87999999999988</v>
      </c>
      <c r="U56" s="13">
        <f t="shared" si="9"/>
        <v>-0.03242623133892716</v>
      </c>
      <c r="V56" s="6">
        <f t="shared" si="16"/>
        <v>0.45454545454545453</v>
      </c>
      <c r="W56" s="6">
        <f t="shared" si="28"/>
        <v>0.42857142857142855</v>
      </c>
      <c r="X56" s="3">
        <f t="shared" si="10"/>
        <v>1</v>
      </c>
      <c r="Y56" s="3">
        <f t="shared" si="11"/>
        <v>1</v>
      </c>
      <c r="Z56" s="10">
        <f t="shared" si="12"/>
        <v>0</v>
      </c>
      <c r="AA56" s="13">
        <f t="shared" si="13"/>
        <v>-0.03242623133892716</v>
      </c>
    </row>
    <row r="57" spans="1:27" ht="14.25">
      <c r="A57" s="3">
        <f t="shared" si="19"/>
        <v>55</v>
      </c>
      <c r="B57" s="29">
        <f t="shared" si="20"/>
        <v>41925</v>
      </c>
      <c r="C57" s="5">
        <f>31/61</f>
        <v>0.5081967213114754</v>
      </c>
      <c r="D57" s="5">
        <f t="shared" si="27"/>
        <v>0.4918032786885246</v>
      </c>
      <c r="E57" s="6">
        <f t="shared" si="1"/>
        <v>0.016393442622950838</v>
      </c>
      <c r="F57" s="5">
        <v>0.649</v>
      </c>
      <c r="G57" s="5">
        <v>0.613</v>
      </c>
      <c r="H57" s="5">
        <v>0.687</v>
      </c>
      <c r="I57" s="6">
        <f t="shared" si="2"/>
        <v>-0.07400000000000007</v>
      </c>
      <c r="J57" s="6">
        <f t="shared" si="24"/>
        <v>0</v>
      </c>
      <c r="M57" s="3">
        <f t="shared" si="4"/>
        <v>0</v>
      </c>
      <c r="N57" s="30">
        <f t="shared" si="25"/>
        <v>0</v>
      </c>
      <c r="O57" s="3">
        <f t="shared" si="26"/>
        <v>0</v>
      </c>
      <c r="P57" s="10">
        <f t="shared" si="7"/>
        <v>0</v>
      </c>
      <c r="Q57" s="6">
        <f t="shared" si="14"/>
        <v>0.4230769230769231</v>
      </c>
      <c r="R57" s="11">
        <v>1905.65</v>
      </c>
      <c r="S57" s="11">
        <v>1886.76</v>
      </c>
      <c r="T57" s="12">
        <f t="shared" si="8"/>
        <v>-18.8900000000001</v>
      </c>
      <c r="U57" s="13">
        <f t="shared" si="9"/>
        <v>-0.009912628237084511</v>
      </c>
      <c r="V57" s="6">
        <f t="shared" si="16"/>
        <v>0.36363636363636365</v>
      </c>
      <c r="W57" s="6">
        <f t="shared" si="28"/>
        <v>0.40816326530612246</v>
      </c>
      <c r="X57" s="3">
        <f t="shared" si="10"/>
        <v>1</v>
      </c>
      <c r="Y57" s="3">
        <f t="shared" si="11"/>
        <v>1</v>
      </c>
      <c r="Z57" s="10">
        <f t="shared" si="12"/>
        <v>0</v>
      </c>
      <c r="AA57" s="13">
        <f t="shared" si="13"/>
        <v>-0.009912628237084511</v>
      </c>
    </row>
    <row r="58" spans="1:27" ht="14.25">
      <c r="A58" s="3">
        <f t="shared" si="19"/>
        <v>56</v>
      </c>
      <c r="B58" s="29">
        <f t="shared" si="20"/>
        <v>41932</v>
      </c>
      <c r="C58" s="5">
        <f>35/57</f>
        <v>0.6140350877192983</v>
      </c>
      <c r="D58" s="5">
        <f t="shared" si="27"/>
        <v>0.38596491228070173</v>
      </c>
      <c r="E58" s="6">
        <f t="shared" si="1"/>
        <v>0.22807017543859653</v>
      </c>
      <c r="F58" s="5">
        <v>0.581</v>
      </c>
      <c r="G58" s="5">
        <v>0.589</v>
      </c>
      <c r="H58" s="5">
        <v>0.5680000000000001</v>
      </c>
      <c r="I58" s="6">
        <f t="shared" si="2"/>
        <v>0.020999999999999908</v>
      </c>
      <c r="J58" s="6">
        <f t="shared" si="24"/>
        <v>0</v>
      </c>
      <c r="M58" s="3">
        <f t="shared" si="4"/>
        <v>0</v>
      </c>
      <c r="N58" s="30">
        <f t="shared" si="25"/>
        <v>0</v>
      </c>
      <c r="O58" s="3">
        <f t="shared" si="26"/>
        <v>1</v>
      </c>
      <c r="P58" s="10">
        <f t="shared" si="7"/>
        <v>1</v>
      </c>
      <c r="Q58" s="6">
        <f t="shared" si="14"/>
        <v>0.4339622641509434</v>
      </c>
      <c r="R58" s="11">
        <v>1885.62</v>
      </c>
      <c r="S58" s="11">
        <v>1964.58</v>
      </c>
      <c r="T58" s="12">
        <f t="shared" si="8"/>
        <v>78.96000000000004</v>
      </c>
      <c r="U58" s="13">
        <f t="shared" si="9"/>
        <v>0.041874821013777985</v>
      </c>
      <c r="V58" s="6">
        <f t="shared" si="16"/>
        <v>0.45454545454545453</v>
      </c>
      <c r="W58" s="6">
        <f t="shared" si="28"/>
        <v>0.40816326530612246</v>
      </c>
      <c r="X58" s="3">
        <f t="shared" si="10"/>
        <v>1</v>
      </c>
      <c r="Y58" s="3">
        <f t="shared" si="11"/>
        <v>0</v>
      </c>
      <c r="Z58" s="10">
        <f t="shared" si="12"/>
        <v>0</v>
      </c>
      <c r="AA58" s="13">
        <f t="shared" si="13"/>
        <v>0</v>
      </c>
    </row>
    <row r="59" spans="1:27" ht="14.25">
      <c r="A59" s="3">
        <f t="shared" si="19"/>
        <v>57</v>
      </c>
      <c r="B59" s="29">
        <f t="shared" si="20"/>
        <v>41939</v>
      </c>
      <c r="C59" s="5">
        <f>34/47</f>
        <v>0.723404255319149</v>
      </c>
      <c r="D59" s="5">
        <f t="shared" si="27"/>
        <v>0.276595744680851</v>
      </c>
      <c r="E59" s="6">
        <f t="shared" si="1"/>
        <v>0.44680851063829796</v>
      </c>
      <c r="F59" s="5">
        <v>0.6</v>
      </c>
      <c r="G59" s="5">
        <v>0.594</v>
      </c>
      <c r="H59" s="5">
        <v>0.615</v>
      </c>
      <c r="I59" s="6">
        <f t="shared" si="2"/>
        <v>-0.02100000000000002</v>
      </c>
      <c r="J59" s="6">
        <f t="shared" si="24"/>
        <v>0</v>
      </c>
      <c r="M59" s="3">
        <f t="shared" si="4"/>
        <v>0</v>
      </c>
      <c r="N59" s="30">
        <f t="shared" si="25"/>
        <v>0</v>
      </c>
      <c r="O59" s="3">
        <f t="shared" si="26"/>
        <v>1</v>
      </c>
      <c r="P59" s="10">
        <f t="shared" si="7"/>
        <v>1</v>
      </c>
      <c r="Q59" s="6">
        <f t="shared" si="14"/>
        <v>0.4444444444444444</v>
      </c>
      <c r="R59" s="11">
        <v>1962.97</v>
      </c>
      <c r="S59" s="11">
        <v>2018.05</v>
      </c>
      <c r="T59" s="12">
        <f t="shared" si="8"/>
        <v>55.07999999999993</v>
      </c>
      <c r="U59" s="13">
        <f t="shared" si="9"/>
        <v>0.028059522050769968</v>
      </c>
      <c r="V59" s="6">
        <f t="shared" si="16"/>
        <v>0.45454545454545453</v>
      </c>
      <c r="W59" s="6">
        <f t="shared" si="28"/>
        <v>0.40816326530612246</v>
      </c>
      <c r="X59" s="3">
        <f t="shared" si="10"/>
        <v>1</v>
      </c>
      <c r="Y59" s="3">
        <f t="shared" si="11"/>
        <v>1</v>
      </c>
      <c r="Z59" s="10">
        <f t="shared" si="12"/>
        <v>1</v>
      </c>
      <c r="AA59" s="13">
        <f t="shared" si="13"/>
        <v>0.028059522050769968</v>
      </c>
    </row>
    <row r="60" spans="1:27" ht="14.25">
      <c r="A60" s="3">
        <f t="shared" si="19"/>
        <v>58</v>
      </c>
      <c r="B60" s="29">
        <f t="shared" si="20"/>
        <v>41946</v>
      </c>
      <c r="C60" s="5">
        <f>50/82</f>
        <v>0.6097560975609756</v>
      </c>
      <c r="D60" s="5">
        <f t="shared" si="27"/>
        <v>0.3902439024390244</v>
      </c>
      <c r="E60" s="6">
        <f t="shared" si="1"/>
        <v>0.2195121951219512</v>
      </c>
      <c r="F60" s="5">
        <v>0.633</v>
      </c>
      <c r="G60" s="5">
        <v>0.658</v>
      </c>
      <c r="H60" s="5">
        <v>0.594</v>
      </c>
      <c r="I60" s="6">
        <f t="shared" si="2"/>
        <v>0.06400000000000006</v>
      </c>
      <c r="J60" s="6">
        <f t="shared" si="24"/>
        <v>0</v>
      </c>
      <c r="M60" s="3">
        <f t="shared" si="4"/>
        <v>0</v>
      </c>
      <c r="N60" s="30">
        <f t="shared" si="25"/>
        <v>0</v>
      </c>
      <c r="O60" s="3">
        <f t="shared" si="26"/>
        <v>1</v>
      </c>
      <c r="P60" s="10">
        <f t="shared" si="7"/>
        <v>1</v>
      </c>
      <c r="Q60" s="6">
        <f t="shared" si="14"/>
        <v>0.45454545454545453</v>
      </c>
      <c r="R60" s="11">
        <v>2018.21</v>
      </c>
      <c r="S60" s="11">
        <v>2031.92</v>
      </c>
      <c r="T60" s="12">
        <f t="shared" si="8"/>
        <v>13.710000000000036</v>
      </c>
      <c r="U60" s="13">
        <f t="shared" si="9"/>
        <v>0.006793148383964025</v>
      </c>
      <c r="V60" s="6">
        <f t="shared" si="16"/>
        <v>0.45454545454545453</v>
      </c>
      <c r="W60" s="6">
        <f t="shared" si="28"/>
        <v>0.40816326530612246</v>
      </c>
      <c r="X60" s="3">
        <f t="shared" si="10"/>
        <v>1</v>
      </c>
      <c r="Y60" s="3">
        <f t="shared" si="11"/>
        <v>0</v>
      </c>
      <c r="Z60" s="10">
        <f t="shared" si="12"/>
        <v>0</v>
      </c>
      <c r="AA60" s="13">
        <f t="shared" si="13"/>
        <v>0</v>
      </c>
    </row>
    <row r="61" spans="1:27" ht="14.25">
      <c r="A61" s="3">
        <f t="shared" si="19"/>
        <v>59</v>
      </c>
      <c r="B61" s="29">
        <f t="shared" si="20"/>
        <v>41953</v>
      </c>
      <c r="C61" s="5">
        <f>40/66</f>
        <v>0.6060606060606061</v>
      </c>
      <c r="D61" s="5">
        <f t="shared" si="27"/>
        <v>0.3939393939393939</v>
      </c>
      <c r="E61" s="6">
        <f t="shared" si="1"/>
        <v>0.21212121212121215</v>
      </c>
      <c r="F61" s="5">
        <v>0.599</v>
      </c>
      <c r="G61" s="5">
        <v>0.59</v>
      </c>
      <c r="H61" s="5">
        <v>0.612</v>
      </c>
      <c r="I61" s="6">
        <f t="shared" si="2"/>
        <v>-0.02200000000000002</v>
      </c>
      <c r="J61" s="6">
        <f t="shared" si="24"/>
        <v>0</v>
      </c>
      <c r="M61" s="3">
        <f t="shared" si="4"/>
        <v>0</v>
      </c>
      <c r="N61" s="30">
        <f t="shared" si="25"/>
        <v>0</v>
      </c>
      <c r="O61" s="3">
        <f t="shared" si="26"/>
        <v>1</v>
      </c>
      <c r="P61" s="10">
        <f t="shared" si="7"/>
        <v>1</v>
      </c>
      <c r="Q61" s="6">
        <f t="shared" si="14"/>
        <v>0.4642857142857143</v>
      </c>
      <c r="R61" s="11">
        <v>2032.01</v>
      </c>
      <c r="S61" s="11">
        <v>2039.82</v>
      </c>
      <c r="T61" s="12">
        <f t="shared" si="8"/>
        <v>7.809999999999945</v>
      </c>
      <c r="U61" s="13">
        <f t="shared" si="9"/>
        <v>0.003843485022219352</v>
      </c>
      <c r="V61" s="6">
        <f t="shared" si="16"/>
        <v>0.45454545454545453</v>
      </c>
      <c r="W61" s="6">
        <f t="shared" si="28"/>
        <v>0.40816326530612246</v>
      </c>
      <c r="X61" s="3">
        <f t="shared" si="10"/>
        <v>1</v>
      </c>
      <c r="Y61" s="3">
        <f t="shared" si="11"/>
        <v>1</v>
      </c>
      <c r="Z61" s="10">
        <f t="shared" si="12"/>
        <v>1</v>
      </c>
      <c r="AA61" s="13">
        <f t="shared" si="13"/>
        <v>0.003843485022219352</v>
      </c>
    </row>
    <row r="62" spans="1:27" ht="14.25">
      <c r="A62" s="3">
        <f t="shared" si="19"/>
        <v>60</v>
      </c>
      <c r="B62" s="29">
        <f t="shared" si="20"/>
        <v>41960</v>
      </c>
      <c r="C62" s="5">
        <f>28/64</f>
        <v>0.4375</v>
      </c>
      <c r="D62" s="5">
        <f t="shared" si="27"/>
        <v>0.5625</v>
      </c>
      <c r="E62" s="6">
        <f t="shared" si="1"/>
        <v>-0.125</v>
      </c>
      <c r="F62" s="5">
        <v>0.6</v>
      </c>
      <c r="G62" s="5">
        <v>0.5640000000000001</v>
      </c>
      <c r="H62" s="5">
        <v>0.628</v>
      </c>
      <c r="I62" s="6">
        <f t="shared" si="2"/>
        <v>-0.06399999999999995</v>
      </c>
      <c r="J62" s="6">
        <f t="shared" si="24"/>
        <v>0</v>
      </c>
      <c r="M62" s="3">
        <f t="shared" si="4"/>
        <v>0</v>
      </c>
      <c r="N62" s="30">
        <f t="shared" si="25"/>
        <v>0</v>
      </c>
      <c r="O62" s="3">
        <f t="shared" si="26"/>
        <v>0</v>
      </c>
      <c r="P62" s="10">
        <f t="shared" si="7"/>
        <v>1</v>
      </c>
      <c r="Q62" s="6">
        <f t="shared" si="14"/>
        <v>0.45614035087719296</v>
      </c>
      <c r="R62" s="11">
        <v>2038.29</v>
      </c>
      <c r="S62" s="11">
        <v>2063.5</v>
      </c>
      <c r="T62" s="12">
        <f t="shared" si="8"/>
        <v>25.210000000000036</v>
      </c>
      <c r="U62" s="13">
        <f t="shared" si="9"/>
        <v>0.012368210607911552</v>
      </c>
      <c r="V62" s="6">
        <f t="shared" si="16"/>
        <v>0.45454545454545453</v>
      </c>
      <c r="W62" s="6">
        <f t="shared" si="28"/>
        <v>0.40816326530612246</v>
      </c>
      <c r="X62" s="3">
        <f t="shared" si="10"/>
        <v>0</v>
      </c>
      <c r="Y62" s="3">
        <f t="shared" si="11"/>
        <v>1</v>
      </c>
      <c r="Z62" s="10">
        <f t="shared" si="12"/>
        <v>0</v>
      </c>
      <c r="AA62" s="13">
        <f t="shared" si="13"/>
        <v>0</v>
      </c>
    </row>
    <row r="63" spans="1:27" ht="14.25">
      <c r="A63" s="3">
        <f t="shared" si="19"/>
        <v>61</v>
      </c>
      <c r="B63" s="29">
        <f t="shared" si="20"/>
        <v>41967</v>
      </c>
      <c r="C63" s="5">
        <f>39/61</f>
        <v>0.639344262295082</v>
      </c>
      <c r="D63" s="5">
        <f t="shared" si="27"/>
        <v>0.360655737704918</v>
      </c>
      <c r="E63" s="6">
        <f t="shared" si="1"/>
        <v>0.278688524590164</v>
      </c>
      <c r="F63" s="5">
        <v>0.661</v>
      </c>
      <c r="G63" s="5">
        <v>0.651</v>
      </c>
      <c r="H63" s="5">
        <v>0.677</v>
      </c>
      <c r="I63" s="6">
        <f t="shared" si="2"/>
        <v>-0.026000000000000023</v>
      </c>
      <c r="J63" s="6">
        <f t="shared" si="24"/>
        <v>0</v>
      </c>
      <c r="M63" s="3">
        <f t="shared" si="4"/>
        <v>0</v>
      </c>
      <c r="N63" s="30">
        <f t="shared" si="25"/>
        <v>0</v>
      </c>
      <c r="O63" s="3">
        <f t="shared" si="26"/>
        <v>1</v>
      </c>
      <c r="P63" s="10">
        <f t="shared" si="7"/>
        <v>1</v>
      </c>
      <c r="Q63" s="6">
        <f t="shared" si="14"/>
        <v>0.46551724137931033</v>
      </c>
      <c r="R63" s="11">
        <v>2065.07</v>
      </c>
      <c r="S63" s="11">
        <v>2067.56</v>
      </c>
      <c r="T63" s="12">
        <f t="shared" si="8"/>
        <v>2.4899999999997817</v>
      </c>
      <c r="U63" s="13">
        <f t="shared" si="9"/>
        <v>0.0012057702644461357</v>
      </c>
      <c r="V63" s="6">
        <f t="shared" si="16"/>
        <v>0.5454545454545454</v>
      </c>
      <c r="W63" s="6">
        <f t="shared" si="28"/>
        <v>0.42857142857142855</v>
      </c>
      <c r="X63" s="3">
        <f t="shared" si="10"/>
        <v>1</v>
      </c>
      <c r="Y63" s="3">
        <f t="shared" si="11"/>
        <v>1</v>
      </c>
      <c r="Z63" s="10">
        <f t="shared" si="12"/>
        <v>1</v>
      </c>
      <c r="AA63" s="13">
        <f t="shared" si="13"/>
        <v>0.0012057702644461357</v>
      </c>
    </row>
    <row r="64" spans="1:27" ht="14.25">
      <c r="A64" s="3">
        <f t="shared" si="19"/>
        <v>62</v>
      </c>
      <c r="B64" s="29">
        <f t="shared" si="20"/>
        <v>41974</v>
      </c>
      <c r="C64" s="5">
        <f>35/68</f>
        <v>0.5147058823529411</v>
      </c>
      <c r="D64" s="5">
        <f t="shared" si="27"/>
        <v>0.4852941176470589</v>
      </c>
      <c r="E64" s="6">
        <f t="shared" si="1"/>
        <v>0.02941176470588225</v>
      </c>
      <c r="F64" s="5">
        <v>0.649</v>
      </c>
      <c r="G64" s="5">
        <v>0.617</v>
      </c>
      <c r="H64" s="5">
        <v>0.682</v>
      </c>
      <c r="I64" s="6">
        <f t="shared" si="2"/>
        <v>-0.06500000000000006</v>
      </c>
      <c r="J64" s="6">
        <f t="shared" si="24"/>
        <v>0</v>
      </c>
      <c r="M64" s="3">
        <f t="shared" si="4"/>
        <v>0</v>
      </c>
      <c r="N64" s="30">
        <f t="shared" si="25"/>
        <v>0</v>
      </c>
      <c r="O64" s="3">
        <f t="shared" si="26"/>
        <v>1</v>
      </c>
      <c r="P64" s="10">
        <f t="shared" si="7"/>
        <v>1</v>
      </c>
      <c r="Q64" s="6">
        <f t="shared" si="14"/>
        <v>0.4745762711864407</v>
      </c>
      <c r="R64" s="11">
        <v>2065.78</v>
      </c>
      <c r="S64" s="11">
        <v>2075.37</v>
      </c>
      <c r="T64" s="12">
        <f t="shared" si="8"/>
        <v>9.58999999999969</v>
      </c>
      <c r="U64" s="13">
        <f t="shared" si="9"/>
        <v>0.0046423142832245886</v>
      </c>
      <c r="V64" s="6">
        <f t="shared" si="16"/>
        <v>0.6363636363636364</v>
      </c>
      <c r="W64" s="6">
        <f t="shared" si="28"/>
        <v>0.4489795918367347</v>
      </c>
      <c r="X64" s="3">
        <f t="shared" si="10"/>
        <v>1</v>
      </c>
      <c r="Y64" s="3">
        <f t="shared" si="11"/>
        <v>1</v>
      </c>
      <c r="Z64" s="10">
        <f t="shared" si="12"/>
        <v>1</v>
      </c>
      <c r="AA64" s="13">
        <f t="shared" si="13"/>
        <v>0.0046423142832245886</v>
      </c>
    </row>
    <row r="65" spans="1:27" ht="14.25">
      <c r="A65" s="3">
        <f t="shared" si="19"/>
        <v>63</v>
      </c>
      <c r="B65" s="29">
        <f t="shared" si="20"/>
        <v>41981</v>
      </c>
      <c r="C65" s="5">
        <f>34/54</f>
        <v>0.6296296296296297</v>
      </c>
      <c r="D65" s="5">
        <f t="shared" si="27"/>
        <v>0.37037037037037035</v>
      </c>
      <c r="E65" s="6">
        <f t="shared" si="1"/>
        <v>0.2592592592592593</v>
      </c>
      <c r="F65" s="5">
        <v>0.58</v>
      </c>
      <c r="G65" s="5">
        <v>0.559</v>
      </c>
      <c r="H65" s="5">
        <v>0.615</v>
      </c>
      <c r="I65" s="6">
        <f t="shared" si="2"/>
        <v>-0.05599999999999994</v>
      </c>
      <c r="J65" s="6">
        <f t="shared" si="24"/>
        <v>0</v>
      </c>
      <c r="M65" s="3">
        <f t="shared" si="4"/>
        <v>0</v>
      </c>
      <c r="N65" s="30">
        <f t="shared" si="25"/>
        <v>0</v>
      </c>
      <c r="O65" s="3">
        <f t="shared" si="26"/>
        <v>0</v>
      </c>
      <c r="P65" s="10">
        <f t="shared" si="7"/>
        <v>0</v>
      </c>
      <c r="Q65" s="6">
        <f t="shared" si="14"/>
        <v>0.4666666666666667</v>
      </c>
      <c r="R65" s="11">
        <v>2074.84</v>
      </c>
      <c r="S65" s="11">
        <v>2002.33</v>
      </c>
      <c r="T65" s="12">
        <f t="shared" si="8"/>
        <v>-72.51000000000022</v>
      </c>
      <c r="U65" s="13">
        <f t="shared" si="9"/>
        <v>-0.03494727304274075</v>
      </c>
      <c r="V65" s="6">
        <f t="shared" si="16"/>
        <v>0.6363636363636364</v>
      </c>
      <c r="W65" s="6">
        <f t="shared" si="28"/>
        <v>0.42857142857142855</v>
      </c>
      <c r="X65" s="3">
        <f t="shared" si="10"/>
        <v>1</v>
      </c>
      <c r="Y65" s="3">
        <f t="shared" si="11"/>
        <v>1</v>
      </c>
      <c r="Z65" s="10">
        <f t="shared" si="12"/>
        <v>0</v>
      </c>
      <c r="AA65" s="13">
        <f t="shared" si="13"/>
        <v>-0.03494727304274075</v>
      </c>
    </row>
    <row r="66" spans="1:27" ht="14.25">
      <c r="A66" s="3">
        <f t="shared" si="19"/>
        <v>64</v>
      </c>
      <c r="B66" s="29">
        <f t="shared" si="20"/>
        <v>41988</v>
      </c>
      <c r="C66" s="5">
        <f>23/50</f>
        <v>0.46</v>
      </c>
      <c r="D66" s="5">
        <f t="shared" si="27"/>
        <v>0.54</v>
      </c>
      <c r="E66" s="6">
        <f t="shared" si="1"/>
        <v>-0.08000000000000002</v>
      </c>
      <c r="F66" s="5">
        <v>0.626</v>
      </c>
      <c r="G66" s="5">
        <v>0.613</v>
      </c>
      <c r="H66" s="5">
        <v>0.637</v>
      </c>
      <c r="I66" s="6">
        <f t="shared" si="2"/>
        <v>-0.02400000000000002</v>
      </c>
      <c r="J66" s="6">
        <f t="shared" si="24"/>
        <v>0</v>
      </c>
      <c r="M66" s="3">
        <f t="shared" si="4"/>
        <v>0</v>
      </c>
      <c r="N66" s="30">
        <f t="shared" si="25"/>
        <v>0</v>
      </c>
      <c r="O66" s="3">
        <f t="shared" si="26"/>
        <v>0</v>
      </c>
      <c r="P66" s="10">
        <f t="shared" si="7"/>
        <v>1</v>
      </c>
      <c r="Q66" s="6">
        <f t="shared" si="14"/>
        <v>0.45901639344262296</v>
      </c>
      <c r="R66" s="11">
        <v>2005.03</v>
      </c>
      <c r="S66" s="11">
        <v>2070.65</v>
      </c>
      <c r="T66" s="12">
        <f t="shared" si="8"/>
        <v>65.62000000000012</v>
      </c>
      <c r="U66" s="13">
        <f t="shared" si="9"/>
        <v>0.03272768986000216</v>
      </c>
      <c r="V66" s="6">
        <f t="shared" si="16"/>
        <v>0.5454545454545454</v>
      </c>
      <c r="W66" s="6">
        <f t="shared" si="28"/>
        <v>0.40816326530612246</v>
      </c>
      <c r="X66" s="3">
        <f t="shared" si="10"/>
        <v>0</v>
      </c>
      <c r="Y66" s="3">
        <f t="shared" si="11"/>
        <v>1</v>
      </c>
      <c r="Z66" s="10">
        <f t="shared" si="12"/>
        <v>0</v>
      </c>
      <c r="AA66" s="13">
        <f t="shared" si="13"/>
        <v>0</v>
      </c>
    </row>
    <row r="67" spans="1:27" ht="14.25">
      <c r="A67" s="3">
        <f t="shared" si="19"/>
        <v>65</v>
      </c>
      <c r="B67" s="29">
        <f t="shared" si="20"/>
        <v>41995</v>
      </c>
      <c r="C67" s="5">
        <f>52/63</f>
        <v>0.8253968253968254</v>
      </c>
      <c r="D67" s="5">
        <f t="shared" si="27"/>
        <v>0.17460317460317465</v>
      </c>
      <c r="E67" s="6">
        <f t="shared" si="1"/>
        <v>0.6507936507936507</v>
      </c>
      <c r="F67" s="5">
        <v>0.626</v>
      </c>
      <c r="G67" s="5">
        <v>0.613</v>
      </c>
      <c r="H67" s="5">
        <v>0.637</v>
      </c>
      <c r="I67" s="6">
        <f t="shared" si="2"/>
        <v>-0.02400000000000002</v>
      </c>
      <c r="J67" s="6">
        <f t="shared" si="24"/>
        <v>0</v>
      </c>
      <c r="M67" s="3">
        <f t="shared" si="4"/>
        <v>0</v>
      </c>
      <c r="N67" s="30">
        <f t="shared" si="25"/>
        <v>0</v>
      </c>
      <c r="O67" s="3">
        <f t="shared" si="26"/>
        <v>1</v>
      </c>
      <c r="P67" s="10">
        <f t="shared" si="7"/>
        <v>1</v>
      </c>
      <c r="Q67" s="6">
        <f t="shared" si="14"/>
        <v>0.46774193548387094</v>
      </c>
      <c r="R67" s="11">
        <v>2069.28</v>
      </c>
      <c r="S67" s="11">
        <v>2088.77</v>
      </c>
      <c r="T67" s="12">
        <f t="shared" si="8"/>
        <v>19.48999999999978</v>
      </c>
      <c r="U67" s="13">
        <f t="shared" si="9"/>
        <v>0.009418735018943681</v>
      </c>
      <c r="V67" s="6">
        <f t="shared" si="16"/>
        <v>0.6363636363636364</v>
      </c>
      <c r="W67" s="6">
        <f t="shared" si="28"/>
        <v>0.42857142857142855</v>
      </c>
      <c r="X67" s="3">
        <f t="shared" si="10"/>
        <v>1</v>
      </c>
      <c r="Y67" s="3">
        <f t="shared" si="11"/>
        <v>1</v>
      </c>
      <c r="Z67" s="10">
        <f t="shared" si="12"/>
        <v>1</v>
      </c>
      <c r="AA67" s="13">
        <f t="shared" si="13"/>
        <v>0.009418735018943681</v>
      </c>
    </row>
    <row r="68" spans="1:27" ht="14.25">
      <c r="A68" s="3">
        <f t="shared" si="19"/>
        <v>66</v>
      </c>
      <c r="B68" s="29">
        <f t="shared" si="20"/>
        <v>42002</v>
      </c>
      <c r="C68" s="5">
        <f>39/62</f>
        <v>0.6290322580645161</v>
      </c>
      <c r="D68" s="5">
        <f t="shared" si="27"/>
        <v>0.3709677419354839</v>
      </c>
      <c r="E68" s="6">
        <f t="shared" si="1"/>
        <v>0.25806451612903225</v>
      </c>
      <c r="F68" s="5">
        <v>0.645</v>
      </c>
      <c r="G68" s="5">
        <v>0.633</v>
      </c>
      <c r="H68" s="5">
        <v>0.668</v>
      </c>
      <c r="I68" s="6">
        <f t="shared" si="2"/>
        <v>-0.03500000000000003</v>
      </c>
      <c r="J68" s="6">
        <f t="shared" si="24"/>
        <v>0</v>
      </c>
      <c r="M68" s="3">
        <f t="shared" si="4"/>
        <v>0</v>
      </c>
      <c r="N68" s="30">
        <f t="shared" si="25"/>
        <v>0</v>
      </c>
      <c r="O68" s="3">
        <f t="shared" si="26"/>
        <v>0</v>
      </c>
      <c r="P68" s="10">
        <f t="shared" si="7"/>
        <v>0</v>
      </c>
      <c r="Q68" s="6">
        <f t="shared" si="14"/>
        <v>0.4603174603174603</v>
      </c>
      <c r="R68" s="11">
        <v>2087.63</v>
      </c>
      <c r="S68" s="11">
        <v>2058.2</v>
      </c>
      <c r="T68" s="12">
        <f t="shared" si="8"/>
        <v>-29.43000000000029</v>
      </c>
      <c r="U68" s="13">
        <f t="shared" si="9"/>
        <v>-0.014097325675526932</v>
      </c>
      <c r="V68" s="6">
        <f t="shared" si="16"/>
        <v>0.6363636363636364</v>
      </c>
      <c r="W68" s="6">
        <f t="shared" si="28"/>
        <v>0.42857142857142855</v>
      </c>
      <c r="X68" s="3">
        <f t="shared" si="10"/>
        <v>1</v>
      </c>
      <c r="Y68" s="3">
        <f t="shared" si="11"/>
        <v>1</v>
      </c>
      <c r="Z68" s="10">
        <f t="shared" si="12"/>
        <v>0</v>
      </c>
      <c r="AA68" s="13">
        <f t="shared" si="13"/>
        <v>-0.014097325675526932</v>
      </c>
    </row>
    <row r="69" spans="1:27" ht="14.25">
      <c r="A69" s="3">
        <f t="shared" si="19"/>
        <v>67</v>
      </c>
      <c r="B69" s="29">
        <f t="shared" si="20"/>
        <v>42009</v>
      </c>
      <c r="C69" s="5">
        <f>34/73</f>
        <v>0.4657534246575342</v>
      </c>
      <c r="D69" s="5">
        <f t="shared" si="27"/>
        <v>0.5342465753424658</v>
      </c>
      <c r="E69" s="6">
        <f t="shared" si="1"/>
        <v>-0.06849315068493156</v>
      </c>
      <c r="F69" s="5">
        <v>0.596</v>
      </c>
      <c r="G69" s="5">
        <v>0.615</v>
      </c>
      <c r="H69" s="5">
        <v>0.58</v>
      </c>
      <c r="I69" s="6">
        <f t="shared" si="2"/>
        <v>0.03500000000000003</v>
      </c>
      <c r="J69" s="6">
        <f t="shared" si="24"/>
        <v>0</v>
      </c>
      <c r="M69" s="3">
        <f t="shared" si="4"/>
        <v>0</v>
      </c>
      <c r="N69" s="30">
        <f t="shared" si="25"/>
        <v>0</v>
      </c>
      <c r="O69" s="3">
        <f t="shared" si="26"/>
        <v>1</v>
      </c>
      <c r="P69" s="10">
        <f t="shared" si="7"/>
        <v>0</v>
      </c>
      <c r="Q69" s="6">
        <f t="shared" si="14"/>
        <v>0.46875</v>
      </c>
      <c r="R69" s="11">
        <v>2054.44</v>
      </c>
      <c r="S69" s="11">
        <v>2044.81</v>
      </c>
      <c r="T69" s="12">
        <f t="shared" si="8"/>
        <v>-9.63000000000011</v>
      </c>
      <c r="U69" s="13">
        <f t="shared" si="9"/>
        <v>-0.00468740873425367</v>
      </c>
      <c r="V69" s="6">
        <f t="shared" si="16"/>
        <v>0.6363636363636364</v>
      </c>
      <c r="W69" s="6">
        <f t="shared" si="28"/>
        <v>0.4489795918367347</v>
      </c>
      <c r="X69" s="3">
        <f t="shared" si="10"/>
        <v>0</v>
      </c>
      <c r="Y69" s="3">
        <f t="shared" si="11"/>
        <v>0</v>
      </c>
      <c r="Z69" s="10">
        <f t="shared" si="12"/>
        <v>0</v>
      </c>
      <c r="AA69" s="13">
        <f t="shared" si="13"/>
        <v>0</v>
      </c>
    </row>
    <row r="70" spans="1:27" ht="14.25">
      <c r="A70" s="3">
        <f t="shared" si="19"/>
        <v>68</v>
      </c>
      <c r="B70" s="29">
        <f t="shared" si="20"/>
        <v>42016</v>
      </c>
      <c r="C70" s="5">
        <f>35/56</f>
        <v>0.625</v>
      </c>
      <c r="D70" s="5">
        <f t="shared" si="27"/>
        <v>0.375</v>
      </c>
      <c r="E70" s="6">
        <f t="shared" si="1"/>
        <v>0.25</v>
      </c>
      <c r="F70" s="5">
        <v>0.6</v>
      </c>
      <c r="G70" s="5">
        <v>0.5710000000000001</v>
      </c>
      <c r="H70" s="5">
        <v>0.648</v>
      </c>
      <c r="I70" s="6">
        <f t="shared" si="2"/>
        <v>-0.07699999999999996</v>
      </c>
      <c r="J70" s="6">
        <f t="shared" si="24"/>
        <v>0</v>
      </c>
      <c r="M70" s="3">
        <f t="shared" si="4"/>
        <v>0</v>
      </c>
      <c r="N70" s="30">
        <f t="shared" si="25"/>
        <v>0</v>
      </c>
      <c r="O70" s="3">
        <f t="shared" si="26"/>
        <v>0</v>
      </c>
      <c r="P70" s="10">
        <f t="shared" si="7"/>
        <v>0</v>
      </c>
      <c r="Q70" s="6">
        <f t="shared" si="14"/>
        <v>0.46153846153846156</v>
      </c>
      <c r="R70" s="11">
        <v>2046.13</v>
      </c>
      <c r="S70" s="11">
        <v>2019.42</v>
      </c>
      <c r="T70" s="12">
        <f t="shared" si="8"/>
        <v>-26.710000000000036</v>
      </c>
      <c r="U70" s="13">
        <f t="shared" si="9"/>
        <v>-0.01305391153054793</v>
      </c>
      <c r="V70" s="6">
        <f t="shared" si="16"/>
        <v>0.5454545454545454</v>
      </c>
      <c r="W70" s="6">
        <f t="shared" si="28"/>
        <v>0.4489795918367347</v>
      </c>
      <c r="X70" s="3">
        <f t="shared" si="10"/>
        <v>1</v>
      </c>
      <c r="Y70" s="3">
        <f t="shared" si="11"/>
        <v>1</v>
      </c>
      <c r="Z70" s="10">
        <f t="shared" si="12"/>
        <v>0</v>
      </c>
      <c r="AA70" s="13">
        <f t="shared" si="13"/>
        <v>-0.01305391153054793</v>
      </c>
    </row>
    <row r="71" spans="1:27" ht="14.25">
      <c r="A71" s="3">
        <f t="shared" si="19"/>
        <v>69</v>
      </c>
      <c r="B71" s="29">
        <f t="shared" si="20"/>
        <v>42023</v>
      </c>
      <c r="C71" s="5">
        <f>48/70</f>
        <v>0.6857142857142857</v>
      </c>
      <c r="D71" s="5">
        <f t="shared" si="27"/>
        <v>0.3142857142857143</v>
      </c>
      <c r="E71" s="6">
        <f t="shared" si="1"/>
        <v>0.37142857142857144</v>
      </c>
      <c r="F71" s="5">
        <v>0.643</v>
      </c>
      <c r="G71" s="5">
        <v>0.667</v>
      </c>
      <c r="H71" s="5">
        <v>0.591</v>
      </c>
      <c r="I71" s="6">
        <f t="shared" si="2"/>
        <v>0.07600000000000007</v>
      </c>
      <c r="J71" s="6">
        <f t="shared" si="24"/>
        <v>0</v>
      </c>
      <c r="M71" s="3">
        <f t="shared" si="4"/>
        <v>0</v>
      </c>
      <c r="N71" s="30">
        <f t="shared" si="25"/>
        <v>0</v>
      </c>
      <c r="O71" s="3">
        <f t="shared" si="26"/>
        <v>1</v>
      </c>
      <c r="P71" s="10">
        <f t="shared" si="7"/>
        <v>1</v>
      </c>
      <c r="Q71" s="6">
        <f t="shared" si="14"/>
        <v>0.4696969696969697</v>
      </c>
      <c r="R71" s="11">
        <v>2020.76</v>
      </c>
      <c r="S71" s="11">
        <v>2051.82</v>
      </c>
      <c r="T71" s="12">
        <f t="shared" si="8"/>
        <v>31.060000000000173</v>
      </c>
      <c r="U71" s="13">
        <f t="shared" si="9"/>
        <v>0.015370454680417355</v>
      </c>
      <c r="V71" s="6">
        <f t="shared" si="16"/>
        <v>0.5454545454545454</v>
      </c>
      <c r="W71" s="6">
        <f t="shared" si="28"/>
        <v>0.46938775510204084</v>
      </c>
      <c r="X71" s="3">
        <f t="shared" si="10"/>
        <v>1</v>
      </c>
      <c r="Y71" s="3">
        <f t="shared" si="11"/>
        <v>0</v>
      </c>
      <c r="Z71" s="10">
        <f t="shared" si="12"/>
        <v>0</v>
      </c>
      <c r="AA71" s="13">
        <f t="shared" si="13"/>
        <v>0</v>
      </c>
    </row>
    <row r="72" spans="1:27" ht="14.25">
      <c r="A72" s="3">
        <f t="shared" si="19"/>
        <v>70</v>
      </c>
      <c r="B72" s="29">
        <f t="shared" si="20"/>
        <v>42030</v>
      </c>
      <c r="C72" s="5">
        <f>43/64</f>
        <v>0.671875</v>
      </c>
      <c r="D72" s="5">
        <f t="shared" si="27"/>
        <v>0.328125</v>
      </c>
      <c r="E72" s="6">
        <f t="shared" si="1"/>
        <v>0.34375</v>
      </c>
      <c r="F72" s="5">
        <v>0.623</v>
      </c>
      <c r="G72" s="5">
        <v>0.626</v>
      </c>
      <c r="H72" s="5">
        <v>0.619</v>
      </c>
      <c r="I72" s="6">
        <f t="shared" si="2"/>
        <v>0.007000000000000006</v>
      </c>
      <c r="J72" s="6">
        <f t="shared" si="24"/>
        <v>0</v>
      </c>
      <c r="M72" s="3">
        <f t="shared" si="4"/>
        <v>0</v>
      </c>
      <c r="N72" s="30">
        <f t="shared" si="25"/>
        <v>0</v>
      </c>
      <c r="O72" s="3">
        <f t="shared" si="26"/>
        <v>0</v>
      </c>
      <c r="P72" s="10">
        <f t="shared" si="7"/>
        <v>0</v>
      </c>
      <c r="Q72" s="6">
        <f t="shared" si="14"/>
        <v>0.4626865671641791</v>
      </c>
      <c r="R72" s="11">
        <v>2050.42</v>
      </c>
      <c r="S72" s="11">
        <v>1994.99</v>
      </c>
      <c r="T72" s="12">
        <f t="shared" si="8"/>
        <v>-55.430000000000064</v>
      </c>
      <c r="U72" s="13">
        <f t="shared" si="9"/>
        <v>-0.0270334858224169</v>
      </c>
      <c r="V72" s="6">
        <f t="shared" si="16"/>
        <v>0.45454545454545453</v>
      </c>
      <c r="W72" s="6">
        <f t="shared" si="28"/>
        <v>0.46938775510204084</v>
      </c>
      <c r="X72" s="3">
        <f t="shared" si="10"/>
        <v>1</v>
      </c>
      <c r="Y72" s="3">
        <f t="shared" si="11"/>
        <v>0</v>
      </c>
      <c r="Z72" s="10">
        <f t="shared" si="12"/>
        <v>0</v>
      </c>
      <c r="AA72" s="13">
        <f t="shared" si="13"/>
        <v>0</v>
      </c>
    </row>
    <row r="73" spans="1:27" ht="14.25">
      <c r="A73" s="3">
        <f t="shared" si="19"/>
        <v>71</v>
      </c>
      <c r="B73" s="29">
        <f t="shared" si="20"/>
        <v>42037</v>
      </c>
      <c r="C73" s="5">
        <f>37/88</f>
        <v>0.42045454545454547</v>
      </c>
      <c r="D73" s="5">
        <f t="shared" si="27"/>
        <v>0.5795454545454546</v>
      </c>
      <c r="E73" s="6">
        <f t="shared" si="1"/>
        <v>-0.15909090909090912</v>
      </c>
      <c r="F73" s="5">
        <v>0.634</v>
      </c>
      <c r="G73" s="5">
        <v>0.624</v>
      </c>
      <c r="H73" s="5">
        <v>0.641</v>
      </c>
      <c r="I73" s="6">
        <f t="shared" si="2"/>
        <v>-0.017000000000000015</v>
      </c>
      <c r="J73" s="6">
        <f t="shared" si="24"/>
        <v>0</v>
      </c>
      <c r="M73" s="3">
        <f t="shared" si="4"/>
        <v>0</v>
      </c>
      <c r="N73" s="30">
        <f t="shared" si="25"/>
        <v>0</v>
      </c>
      <c r="O73" s="3">
        <f t="shared" si="26"/>
        <v>0</v>
      </c>
      <c r="P73" s="10">
        <f t="shared" si="7"/>
        <v>1</v>
      </c>
      <c r="Q73" s="6">
        <f t="shared" si="14"/>
        <v>0.45588235294117646</v>
      </c>
      <c r="R73" s="11">
        <v>1996.67</v>
      </c>
      <c r="S73" s="11">
        <v>2062.13</v>
      </c>
      <c r="T73" s="12">
        <f t="shared" si="8"/>
        <v>65.46000000000004</v>
      </c>
      <c r="U73" s="13">
        <f t="shared" si="9"/>
        <v>0.03278458633624987</v>
      </c>
      <c r="V73" s="6">
        <f t="shared" si="16"/>
        <v>0.45454545454545453</v>
      </c>
      <c r="W73" s="6">
        <f t="shared" si="28"/>
        <v>0.4489795918367347</v>
      </c>
      <c r="X73" s="3">
        <f t="shared" si="10"/>
        <v>0</v>
      </c>
      <c r="Y73" s="3">
        <f t="shared" si="11"/>
        <v>1</v>
      </c>
      <c r="Z73" s="10">
        <f t="shared" si="12"/>
        <v>0</v>
      </c>
      <c r="AA73" s="13">
        <f t="shared" si="13"/>
        <v>0</v>
      </c>
    </row>
    <row r="74" spans="1:27" ht="14.25">
      <c r="A74" s="3">
        <f t="shared" si="19"/>
        <v>72</v>
      </c>
      <c r="B74" s="29">
        <f t="shared" si="20"/>
        <v>42044</v>
      </c>
      <c r="C74" s="5">
        <f>32/61</f>
        <v>0.5245901639344263</v>
      </c>
      <c r="D74" s="5">
        <f t="shared" si="27"/>
        <v>0.47540983606557374</v>
      </c>
      <c r="E74" s="6">
        <f t="shared" si="1"/>
        <v>0.049180327868852514</v>
      </c>
      <c r="F74" s="5">
        <v>0.621</v>
      </c>
      <c r="G74" s="5">
        <v>0.606</v>
      </c>
      <c r="H74" s="5">
        <v>0.638</v>
      </c>
      <c r="I74" s="6">
        <f t="shared" si="2"/>
        <v>-0.03200000000000003</v>
      </c>
      <c r="J74" s="6">
        <f t="shared" si="24"/>
        <v>0</v>
      </c>
      <c r="M74" s="3">
        <f t="shared" si="4"/>
        <v>0</v>
      </c>
      <c r="N74" s="30">
        <f t="shared" si="25"/>
        <v>0</v>
      </c>
      <c r="O74" s="3">
        <f t="shared" si="26"/>
        <v>1</v>
      </c>
      <c r="P74" s="10">
        <f t="shared" si="7"/>
        <v>1</v>
      </c>
      <c r="Q74" s="6">
        <f t="shared" si="14"/>
        <v>0.463768115942029</v>
      </c>
      <c r="R74" s="11">
        <v>2053.47</v>
      </c>
      <c r="S74" s="11">
        <v>2096.99</v>
      </c>
      <c r="T74" s="12">
        <f t="shared" si="8"/>
        <v>43.51999999999998</v>
      </c>
      <c r="U74" s="13">
        <f t="shared" si="9"/>
        <v>0.02119339459548958</v>
      </c>
      <c r="V74" s="6">
        <f t="shared" si="16"/>
        <v>0.45454545454545453</v>
      </c>
      <c r="W74" s="6">
        <f t="shared" si="28"/>
        <v>0.46938775510204084</v>
      </c>
      <c r="X74" s="3">
        <f t="shared" si="10"/>
        <v>1</v>
      </c>
      <c r="Y74" s="3">
        <f t="shared" si="11"/>
        <v>1</v>
      </c>
      <c r="Z74" s="10">
        <f t="shared" si="12"/>
        <v>1</v>
      </c>
      <c r="AA74" s="13">
        <f t="shared" si="13"/>
        <v>0.02119339459548958</v>
      </c>
    </row>
    <row r="75" spans="1:27" ht="14.25">
      <c r="A75" s="3">
        <f t="shared" si="19"/>
        <v>73</v>
      </c>
      <c r="B75" s="29">
        <f t="shared" si="20"/>
        <v>42051</v>
      </c>
      <c r="C75" s="5">
        <f>34/64</f>
        <v>0.53125</v>
      </c>
      <c r="D75" s="5">
        <f t="shared" si="27"/>
        <v>0.46875</v>
      </c>
      <c r="E75" s="6">
        <f t="shared" si="1"/>
        <v>0.0625</v>
      </c>
      <c r="F75" s="5">
        <v>0.644</v>
      </c>
      <c r="G75" s="5">
        <v>0.662</v>
      </c>
      <c r="H75" s="5">
        <v>0.623</v>
      </c>
      <c r="I75" s="6">
        <f t="shared" si="2"/>
        <v>0.039000000000000035</v>
      </c>
      <c r="J75" s="6">
        <f t="shared" si="24"/>
        <v>0</v>
      </c>
      <c r="M75" s="3">
        <f t="shared" si="4"/>
        <v>0</v>
      </c>
      <c r="N75" s="30">
        <f t="shared" si="25"/>
        <v>0</v>
      </c>
      <c r="O75" s="3">
        <f t="shared" si="26"/>
        <v>1</v>
      </c>
      <c r="P75" s="10">
        <f t="shared" si="7"/>
        <v>1</v>
      </c>
      <c r="Q75" s="6">
        <f t="shared" si="14"/>
        <v>0.4714285714285714</v>
      </c>
      <c r="R75" s="11">
        <v>2096.47</v>
      </c>
      <c r="S75" s="11">
        <v>2110.3</v>
      </c>
      <c r="T75" s="12">
        <f t="shared" si="8"/>
        <v>13.830000000000382</v>
      </c>
      <c r="U75" s="13">
        <f t="shared" si="9"/>
        <v>0.006596803197756411</v>
      </c>
      <c r="V75" s="6">
        <f t="shared" si="16"/>
        <v>0.45454545454545453</v>
      </c>
      <c r="W75" s="6">
        <f t="shared" si="28"/>
        <v>0.4897959183673469</v>
      </c>
      <c r="X75" s="3">
        <f t="shared" si="10"/>
        <v>1</v>
      </c>
      <c r="Y75" s="3">
        <f t="shared" si="11"/>
        <v>0</v>
      </c>
      <c r="Z75" s="10">
        <f t="shared" si="12"/>
        <v>0</v>
      </c>
      <c r="AA75" s="13">
        <f t="shared" si="13"/>
        <v>0</v>
      </c>
    </row>
    <row r="76" spans="1:27" ht="14.25">
      <c r="A76" s="3">
        <f t="shared" si="19"/>
        <v>74</v>
      </c>
      <c r="B76" s="29">
        <f t="shared" si="20"/>
        <v>42058</v>
      </c>
      <c r="C76" s="5">
        <f>48/75</f>
        <v>0.64</v>
      </c>
      <c r="D76" s="5">
        <f t="shared" si="27"/>
        <v>0.36</v>
      </c>
      <c r="E76" s="6">
        <f t="shared" si="1"/>
        <v>0.28</v>
      </c>
      <c r="F76" s="5">
        <v>0.663</v>
      </c>
      <c r="G76" s="5">
        <v>0.665</v>
      </c>
      <c r="H76" s="5">
        <v>0.659</v>
      </c>
      <c r="I76" s="6">
        <f t="shared" si="2"/>
        <v>0.006000000000000005</v>
      </c>
      <c r="J76" s="6">
        <f t="shared" si="24"/>
        <v>0</v>
      </c>
      <c r="M76" s="3">
        <f t="shared" si="4"/>
        <v>0</v>
      </c>
      <c r="N76" s="30">
        <f t="shared" si="25"/>
        <v>0</v>
      </c>
      <c r="O76" s="3">
        <f t="shared" si="26"/>
        <v>0</v>
      </c>
      <c r="P76" s="10">
        <f t="shared" si="7"/>
        <v>0</v>
      </c>
      <c r="Q76" s="6">
        <f t="shared" si="14"/>
        <v>0.4647887323943662</v>
      </c>
      <c r="R76" s="11">
        <v>2109.83</v>
      </c>
      <c r="S76" s="11">
        <v>2104.5</v>
      </c>
      <c r="T76" s="12">
        <f t="shared" si="8"/>
        <v>-5.329999999999927</v>
      </c>
      <c r="U76" s="13">
        <f t="shared" si="9"/>
        <v>-0.002526269889043159</v>
      </c>
      <c r="V76" s="6">
        <f t="shared" si="16"/>
        <v>0.45454545454545453</v>
      </c>
      <c r="W76" s="6">
        <f t="shared" si="28"/>
        <v>0.48</v>
      </c>
      <c r="X76" s="3">
        <f t="shared" si="10"/>
        <v>1</v>
      </c>
      <c r="Y76" s="3">
        <f t="shared" si="11"/>
        <v>0</v>
      </c>
      <c r="Z76" s="10">
        <f t="shared" si="12"/>
        <v>0</v>
      </c>
      <c r="AA76" s="13">
        <f t="shared" si="13"/>
        <v>0</v>
      </c>
    </row>
    <row r="77" spans="1:27" ht="14.25">
      <c r="A77" s="3">
        <f t="shared" si="19"/>
        <v>75</v>
      </c>
      <c r="B77" s="29">
        <f t="shared" si="20"/>
        <v>42065</v>
      </c>
      <c r="C77" s="5">
        <f>41/88</f>
        <v>0.4659090909090909</v>
      </c>
      <c r="D77" s="5">
        <f t="shared" si="27"/>
        <v>0.5340909090909092</v>
      </c>
      <c r="E77" s="6">
        <f t="shared" si="1"/>
        <v>-0.06818181818181829</v>
      </c>
      <c r="F77" s="5">
        <v>0.659</v>
      </c>
      <c r="G77" s="5">
        <v>0.715</v>
      </c>
      <c r="H77" s="5">
        <v>0.611</v>
      </c>
      <c r="I77" s="6">
        <f t="shared" si="2"/>
        <v>0.10399999999999998</v>
      </c>
      <c r="J77" s="6">
        <f t="shared" si="24"/>
        <v>0</v>
      </c>
      <c r="M77" s="3">
        <f t="shared" si="4"/>
        <v>0</v>
      </c>
      <c r="N77" s="30">
        <f t="shared" si="25"/>
        <v>0</v>
      </c>
      <c r="O77" s="3">
        <f t="shared" si="26"/>
        <v>1</v>
      </c>
      <c r="P77" s="10">
        <f t="shared" si="7"/>
        <v>0</v>
      </c>
      <c r="Q77" s="6">
        <f t="shared" si="14"/>
        <v>0.4722222222222222</v>
      </c>
      <c r="R77" s="11">
        <v>2105.23</v>
      </c>
      <c r="S77" s="11">
        <v>2071.26</v>
      </c>
      <c r="T77" s="12">
        <f t="shared" si="8"/>
        <v>-33.9699999999998</v>
      </c>
      <c r="U77" s="13">
        <f t="shared" si="9"/>
        <v>-0.016136004142065143</v>
      </c>
      <c r="V77" s="6">
        <f t="shared" si="16"/>
        <v>0.5454545454545454</v>
      </c>
      <c r="W77" s="6">
        <f t="shared" si="28"/>
        <v>0.48</v>
      </c>
      <c r="X77" s="3">
        <f t="shared" si="10"/>
        <v>0</v>
      </c>
      <c r="Y77" s="3">
        <f t="shared" si="11"/>
        <v>0</v>
      </c>
      <c r="Z77" s="10">
        <f t="shared" si="12"/>
        <v>0</v>
      </c>
      <c r="AA77" s="13">
        <f t="shared" si="13"/>
        <v>0</v>
      </c>
    </row>
    <row r="78" spans="1:27" ht="14.25">
      <c r="A78" s="3">
        <f t="shared" si="19"/>
        <v>76</v>
      </c>
      <c r="B78" s="29">
        <f t="shared" si="20"/>
        <v>42072</v>
      </c>
      <c r="C78" s="5">
        <f>35/70</f>
        <v>0.5</v>
      </c>
      <c r="D78" s="5">
        <f t="shared" si="27"/>
        <v>0.5</v>
      </c>
      <c r="E78" s="6">
        <f t="shared" si="1"/>
        <v>0</v>
      </c>
      <c r="F78" s="5">
        <v>0.619</v>
      </c>
      <c r="G78" s="5">
        <v>0.583</v>
      </c>
      <c r="H78" s="5">
        <v>0.654</v>
      </c>
      <c r="I78" s="6">
        <f t="shared" si="2"/>
        <v>-0.07100000000000006</v>
      </c>
      <c r="J78" s="3" t="s">
        <v>58</v>
      </c>
      <c r="M78" s="3">
        <f t="shared" si="4"/>
        <v>0</v>
      </c>
      <c r="N78" s="3" t="s">
        <v>58</v>
      </c>
      <c r="O78" s="3" t="s">
        <v>58</v>
      </c>
      <c r="P78" s="10">
        <f t="shared" si="7"/>
        <v>0</v>
      </c>
      <c r="Q78" s="6">
        <f t="shared" si="14"/>
        <v>0.4722222222222222</v>
      </c>
      <c r="R78" s="11">
        <v>2072.25</v>
      </c>
      <c r="S78" s="11">
        <v>2053.4</v>
      </c>
      <c r="T78" s="12">
        <f t="shared" si="8"/>
        <v>-18.84999999999991</v>
      </c>
      <c r="U78" s="13">
        <f t="shared" si="9"/>
        <v>-0.009096392809747814</v>
      </c>
      <c r="V78" s="6">
        <f t="shared" si="16"/>
        <v>0.5</v>
      </c>
      <c r="W78" s="6">
        <f t="shared" si="28"/>
        <v>0.4897959183673469</v>
      </c>
      <c r="X78" s="3">
        <f t="shared" si="10"/>
        <v>0</v>
      </c>
      <c r="Y78" s="3">
        <f t="shared" si="11"/>
        <v>1</v>
      </c>
      <c r="Z78" s="10">
        <f t="shared" si="12"/>
        <v>0</v>
      </c>
      <c r="AA78" s="13">
        <f t="shared" si="13"/>
        <v>0</v>
      </c>
    </row>
    <row r="79" spans="1:27" ht="14.25">
      <c r="A79" s="3">
        <f t="shared" si="19"/>
        <v>77</v>
      </c>
      <c r="B79" s="29">
        <f t="shared" si="20"/>
        <v>42079</v>
      </c>
      <c r="C79" s="5">
        <f>38/67</f>
        <v>0.5671641791044776</v>
      </c>
      <c r="D79" s="5">
        <f t="shared" si="27"/>
        <v>0.4328358208955224</v>
      </c>
      <c r="E79" s="6">
        <f t="shared" si="1"/>
        <v>0.13432835820895517</v>
      </c>
      <c r="F79" s="5">
        <v>0.655</v>
      </c>
      <c r="G79" s="5">
        <v>0.621</v>
      </c>
      <c r="H79" s="5">
        <v>0.7</v>
      </c>
      <c r="I79" s="6">
        <f t="shared" si="2"/>
        <v>-0.07899999999999996</v>
      </c>
      <c r="J79" s="6">
        <f aca="true" t="shared" si="29" ref="J79:J264">IF(C79&gt;D79,"Higher","Lower")</f>
        <v>0</v>
      </c>
      <c r="M79" s="3">
        <f t="shared" si="4"/>
        <v>0</v>
      </c>
      <c r="N79" s="30">
        <f aca="true" t="shared" si="30" ref="N79:N263">IF(J79=M79,"Yes","No")</f>
        <v>0</v>
      </c>
      <c r="O79" s="3">
        <f aca="true" t="shared" si="31" ref="O79:O263">IF(N79="Yes",1,0)</f>
        <v>1</v>
      </c>
      <c r="P79" s="10">
        <f t="shared" si="7"/>
        <v>1</v>
      </c>
      <c r="Q79" s="6">
        <f t="shared" si="14"/>
        <v>0.4794520547945205</v>
      </c>
      <c r="R79" s="11">
        <v>2055.35</v>
      </c>
      <c r="S79" s="11">
        <v>2108.06</v>
      </c>
      <c r="T79" s="12">
        <f t="shared" si="8"/>
        <v>52.710000000000036</v>
      </c>
      <c r="U79" s="13">
        <f t="shared" si="9"/>
        <v>0.025645267229425665</v>
      </c>
      <c r="V79" s="6">
        <f t="shared" si="16"/>
        <v>0.6</v>
      </c>
      <c r="W79" s="6">
        <f t="shared" si="28"/>
        <v>0.5102040816326531</v>
      </c>
      <c r="X79" s="3">
        <f t="shared" si="10"/>
        <v>1</v>
      </c>
      <c r="Y79" s="3">
        <f t="shared" si="11"/>
        <v>1</v>
      </c>
      <c r="Z79" s="10">
        <f t="shared" si="12"/>
        <v>1</v>
      </c>
      <c r="AA79" s="13">
        <f t="shared" si="13"/>
        <v>0.025645267229425665</v>
      </c>
    </row>
    <row r="80" spans="1:27" ht="14.25">
      <c r="A80" s="3">
        <f t="shared" si="19"/>
        <v>78</v>
      </c>
      <c r="B80" s="29">
        <f t="shared" si="20"/>
        <v>42086</v>
      </c>
      <c r="C80" s="5">
        <f>52/66</f>
        <v>0.7878787878787878</v>
      </c>
      <c r="D80" s="5">
        <f t="shared" si="27"/>
        <v>0.21212121212121215</v>
      </c>
      <c r="E80" s="6">
        <f t="shared" si="1"/>
        <v>0.5757575757575757</v>
      </c>
      <c r="F80" s="5">
        <v>0.683</v>
      </c>
      <c r="G80" s="5">
        <v>0.683</v>
      </c>
      <c r="H80" s="5">
        <v>0.686</v>
      </c>
      <c r="I80" s="6">
        <f t="shared" si="2"/>
        <v>-0.0030000000000000027</v>
      </c>
      <c r="J80" s="6">
        <f t="shared" si="29"/>
        <v>0</v>
      </c>
      <c r="M80" s="3">
        <f t="shared" si="4"/>
        <v>0</v>
      </c>
      <c r="N80" s="30">
        <f t="shared" si="30"/>
        <v>0</v>
      </c>
      <c r="O80" s="3">
        <f t="shared" si="31"/>
        <v>0</v>
      </c>
      <c r="P80" s="10">
        <f t="shared" si="7"/>
        <v>0</v>
      </c>
      <c r="Q80" s="6">
        <f t="shared" si="14"/>
        <v>0.47297297297297297</v>
      </c>
      <c r="R80" s="11">
        <v>2107.99</v>
      </c>
      <c r="S80" s="11">
        <v>2061.02</v>
      </c>
      <c r="T80" s="12">
        <f t="shared" si="8"/>
        <v>-46.9699999999998</v>
      </c>
      <c r="U80" s="13">
        <f t="shared" si="9"/>
        <v>-0.022281889382776865</v>
      </c>
      <c r="V80" s="6">
        <f t="shared" si="16"/>
        <v>0.5</v>
      </c>
      <c r="W80" s="6">
        <f t="shared" si="28"/>
        <v>0.5102040816326531</v>
      </c>
      <c r="X80" s="3">
        <f t="shared" si="10"/>
        <v>1</v>
      </c>
      <c r="Y80" s="3">
        <f t="shared" si="11"/>
        <v>1</v>
      </c>
      <c r="Z80" s="10">
        <f t="shared" si="12"/>
        <v>0</v>
      </c>
      <c r="AA80" s="13">
        <f t="shared" si="13"/>
        <v>-0.022281889382776865</v>
      </c>
    </row>
    <row r="81" spans="1:27" ht="14.25">
      <c r="A81" s="3">
        <f t="shared" si="19"/>
        <v>79</v>
      </c>
      <c r="B81" s="29">
        <f t="shared" si="20"/>
        <v>42093</v>
      </c>
      <c r="C81" s="5">
        <f>29/48</f>
        <v>0.6041666666666666</v>
      </c>
      <c r="D81" s="5">
        <f t="shared" si="27"/>
        <v>0.39583333333333337</v>
      </c>
      <c r="E81" s="6">
        <f t="shared" si="1"/>
        <v>0.20833333333333326</v>
      </c>
      <c r="F81" s="5">
        <v>0.644</v>
      </c>
      <c r="G81" s="5">
        <v>0.648</v>
      </c>
      <c r="H81" s="5">
        <v>0.637</v>
      </c>
      <c r="I81" s="6">
        <f t="shared" si="2"/>
        <v>0.01100000000000001</v>
      </c>
      <c r="J81" s="6">
        <f t="shared" si="29"/>
        <v>0</v>
      </c>
      <c r="M81" s="3">
        <f t="shared" si="4"/>
        <v>0</v>
      </c>
      <c r="N81" s="30">
        <f t="shared" si="30"/>
        <v>0</v>
      </c>
      <c r="O81" s="3">
        <f t="shared" si="31"/>
        <v>1</v>
      </c>
      <c r="P81" s="10">
        <f t="shared" si="7"/>
        <v>1</v>
      </c>
      <c r="Q81" s="6">
        <f t="shared" si="14"/>
        <v>0.48</v>
      </c>
      <c r="R81" s="11">
        <v>2064.11</v>
      </c>
      <c r="S81" s="11">
        <v>2066.96</v>
      </c>
      <c r="T81" s="12">
        <f t="shared" si="8"/>
        <v>2.849999999999909</v>
      </c>
      <c r="U81" s="13">
        <f t="shared" si="9"/>
        <v>0.0013807403675191287</v>
      </c>
      <c r="V81" s="6">
        <f t="shared" si="16"/>
        <v>0.6</v>
      </c>
      <c r="W81" s="6">
        <f t="shared" si="28"/>
        <v>0.5102040816326531</v>
      </c>
      <c r="X81" s="3">
        <f t="shared" si="10"/>
        <v>1</v>
      </c>
      <c r="Y81" s="3">
        <f t="shared" si="11"/>
        <v>0</v>
      </c>
      <c r="Z81" s="10">
        <f t="shared" si="12"/>
        <v>0</v>
      </c>
      <c r="AA81" s="13">
        <f t="shared" si="13"/>
        <v>0</v>
      </c>
    </row>
    <row r="82" spans="1:27" ht="14.25">
      <c r="A82" s="3">
        <f t="shared" si="19"/>
        <v>80</v>
      </c>
      <c r="B82" s="29">
        <f t="shared" si="20"/>
        <v>42100</v>
      </c>
      <c r="C82" s="5">
        <f>30/56</f>
        <v>0.5357142857142857</v>
      </c>
      <c r="D82" s="5">
        <f t="shared" si="27"/>
        <v>0.4642857142857143</v>
      </c>
      <c r="E82" s="6">
        <f t="shared" si="1"/>
        <v>0.0714285714285714</v>
      </c>
      <c r="F82" s="5">
        <v>0.629</v>
      </c>
      <c r="G82" s="5">
        <v>0.58</v>
      </c>
      <c r="H82" s="5">
        <v>0.685</v>
      </c>
      <c r="I82" s="6">
        <f t="shared" si="2"/>
        <v>-0.1050000000000001</v>
      </c>
      <c r="J82" s="6">
        <f t="shared" si="29"/>
        <v>0</v>
      </c>
      <c r="M82" s="3">
        <f t="shared" si="4"/>
        <v>0</v>
      </c>
      <c r="N82" s="30">
        <f t="shared" si="30"/>
        <v>0</v>
      </c>
      <c r="O82" s="3">
        <f t="shared" si="31"/>
        <v>1</v>
      </c>
      <c r="P82" s="10">
        <f t="shared" si="7"/>
        <v>1</v>
      </c>
      <c r="Q82" s="6">
        <f t="shared" si="14"/>
        <v>0.4868421052631579</v>
      </c>
      <c r="R82" s="11">
        <v>2064.87</v>
      </c>
      <c r="S82" s="11">
        <v>2102.06</v>
      </c>
      <c r="T82" s="12">
        <f t="shared" si="8"/>
        <v>37.190000000000055</v>
      </c>
      <c r="U82" s="13">
        <f t="shared" si="9"/>
        <v>0.018010819083041574</v>
      </c>
      <c r="V82" s="6">
        <f t="shared" si="16"/>
        <v>0.6</v>
      </c>
      <c r="W82" s="6">
        <f t="shared" si="28"/>
        <v>0.52</v>
      </c>
      <c r="X82" s="3">
        <f t="shared" si="10"/>
        <v>1</v>
      </c>
      <c r="Y82" s="3">
        <f t="shared" si="11"/>
        <v>1</v>
      </c>
      <c r="Z82" s="10">
        <f t="shared" si="12"/>
        <v>1</v>
      </c>
      <c r="AA82" s="13">
        <f t="shared" si="13"/>
        <v>0.018010819083041574</v>
      </c>
    </row>
    <row r="83" spans="1:27" ht="14.25">
      <c r="A83" s="3">
        <f t="shared" si="19"/>
        <v>81</v>
      </c>
      <c r="B83" s="29">
        <f t="shared" si="20"/>
        <v>42107</v>
      </c>
      <c r="C83" s="5">
        <v>0.6857142857142857</v>
      </c>
      <c r="D83" s="5">
        <f t="shared" si="27"/>
        <v>0.3142857142857143</v>
      </c>
      <c r="E83" s="6">
        <f t="shared" si="1"/>
        <v>0.37142857142857144</v>
      </c>
      <c r="F83" s="5">
        <v>0.6910000000000001</v>
      </c>
      <c r="G83" s="5">
        <v>0.721</v>
      </c>
      <c r="H83" s="5">
        <v>0.627</v>
      </c>
      <c r="I83" s="6">
        <f t="shared" si="2"/>
        <v>0.09399999999999997</v>
      </c>
      <c r="J83" s="6">
        <f t="shared" si="29"/>
        <v>0</v>
      </c>
      <c r="M83" s="3">
        <f t="shared" si="4"/>
        <v>0</v>
      </c>
      <c r="N83" s="30">
        <f t="shared" si="30"/>
        <v>0</v>
      </c>
      <c r="O83" s="3">
        <f t="shared" si="31"/>
        <v>0</v>
      </c>
      <c r="P83" s="10">
        <f t="shared" si="7"/>
        <v>0</v>
      </c>
      <c r="Q83" s="6">
        <f t="shared" si="14"/>
        <v>0.4805194805194805</v>
      </c>
      <c r="R83" s="11">
        <v>2102.03</v>
      </c>
      <c r="S83" s="11">
        <v>2081.18</v>
      </c>
      <c r="T83" s="12">
        <f t="shared" si="8"/>
        <v>-20.850000000000364</v>
      </c>
      <c r="U83" s="13">
        <f t="shared" si="9"/>
        <v>-0.009918983078262614</v>
      </c>
      <c r="V83" s="6">
        <f t="shared" si="16"/>
        <v>0.6</v>
      </c>
      <c r="W83" s="6">
        <f t="shared" si="28"/>
        <v>0.52</v>
      </c>
      <c r="X83" s="3">
        <f t="shared" si="10"/>
        <v>1</v>
      </c>
      <c r="Y83" s="3">
        <f t="shared" si="11"/>
        <v>0</v>
      </c>
      <c r="Z83" s="10">
        <f t="shared" si="12"/>
        <v>0</v>
      </c>
      <c r="AA83" s="13">
        <f t="shared" si="13"/>
        <v>0</v>
      </c>
    </row>
    <row r="84" spans="1:27" ht="14.25">
      <c r="A84" s="3">
        <f t="shared" si="19"/>
        <v>82</v>
      </c>
      <c r="B84" s="29">
        <f t="shared" si="20"/>
        <v>42114</v>
      </c>
      <c r="C84" s="5">
        <f>43/72</f>
        <v>0.5972222222222222</v>
      </c>
      <c r="D84" s="5">
        <f t="shared" si="27"/>
        <v>0.4027777777777778</v>
      </c>
      <c r="E84" s="6">
        <f t="shared" si="1"/>
        <v>0.19444444444444442</v>
      </c>
      <c r="F84" s="5">
        <v>0.651</v>
      </c>
      <c r="G84" s="5">
        <v>0.656</v>
      </c>
      <c r="H84" s="5">
        <v>0.645</v>
      </c>
      <c r="I84" s="6">
        <f t="shared" si="2"/>
        <v>0.01100000000000001</v>
      </c>
      <c r="J84" s="6">
        <f t="shared" si="29"/>
        <v>0</v>
      </c>
      <c r="M84" s="3">
        <f t="shared" si="4"/>
        <v>0</v>
      </c>
      <c r="N84" s="30">
        <f t="shared" si="30"/>
        <v>0</v>
      </c>
      <c r="O84" s="3">
        <f t="shared" si="31"/>
        <v>1</v>
      </c>
      <c r="P84" s="10">
        <f t="shared" si="7"/>
        <v>1</v>
      </c>
      <c r="Q84" s="6">
        <f t="shared" si="14"/>
        <v>0.48717948717948717</v>
      </c>
      <c r="R84" s="11">
        <v>2084.11</v>
      </c>
      <c r="S84" s="11">
        <v>2117.69</v>
      </c>
      <c r="T84" s="12">
        <f t="shared" si="8"/>
        <v>33.57999999999993</v>
      </c>
      <c r="U84" s="13">
        <f t="shared" si="9"/>
        <v>0.016112393299777806</v>
      </c>
      <c r="V84" s="6">
        <f t="shared" si="16"/>
        <v>0.7</v>
      </c>
      <c r="W84" s="6">
        <f t="shared" si="28"/>
        <v>0.52</v>
      </c>
      <c r="X84" s="3">
        <f t="shared" si="10"/>
        <v>1</v>
      </c>
      <c r="Y84" s="3">
        <f t="shared" si="11"/>
        <v>0</v>
      </c>
      <c r="Z84" s="10">
        <f t="shared" si="12"/>
        <v>0</v>
      </c>
      <c r="AA84" s="13">
        <f t="shared" si="13"/>
        <v>0</v>
      </c>
    </row>
    <row r="85" spans="1:27" ht="14.25">
      <c r="A85" s="3">
        <f t="shared" si="19"/>
        <v>83</v>
      </c>
      <c r="B85" s="29">
        <f t="shared" si="20"/>
        <v>42121</v>
      </c>
      <c r="C85" s="5">
        <f>32/59</f>
        <v>0.5423728813559322</v>
      </c>
      <c r="D85" s="5">
        <f t="shared" si="27"/>
        <v>0.4576271186440678</v>
      </c>
      <c r="E85" s="6">
        <f t="shared" si="1"/>
        <v>0.0847457627118644</v>
      </c>
      <c r="F85" s="5">
        <v>0.629</v>
      </c>
      <c r="G85" s="5">
        <v>0.6940000000000001</v>
      </c>
      <c r="H85" s="5">
        <v>0.552</v>
      </c>
      <c r="I85" s="6">
        <f t="shared" si="2"/>
        <v>0.14200000000000002</v>
      </c>
      <c r="J85" s="6">
        <f t="shared" si="29"/>
        <v>0</v>
      </c>
      <c r="M85" s="3">
        <f t="shared" si="4"/>
        <v>0</v>
      </c>
      <c r="N85" s="30">
        <f t="shared" si="30"/>
        <v>0</v>
      </c>
      <c r="O85" s="3">
        <f t="shared" si="31"/>
        <v>0</v>
      </c>
      <c r="P85" s="10">
        <f t="shared" si="7"/>
        <v>0</v>
      </c>
      <c r="Q85" s="6">
        <f t="shared" si="14"/>
        <v>0.4810126582278481</v>
      </c>
      <c r="R85" s="11">
        <v>2119.29</v>
      </c>
      <c r="S85" s="11">
        <v>2108.29</v>
      </c>
      <c r="T85" s="12">
        <f t="shared" si="8"/>
        <v>-11</v>
      </c>
      <c r="U85" s="13">
        <f t="shared" si="9"/>
        <v>-0.005190417545498729</v>
      </c>
      <c r="V85" s="6">
        <f t="shared" si="16"/>
        <v>0.6</v>
      </c>
      <c r="W85" s="6">
        <f t="shared" si="28"/>
        <v>0.52</v>
      </c>
      <c r="X85" s="3">
        <f t="shared" si="10"/>
        <v>1</v>
      </c>
      <c r="Y85" s="3">
        <f t="shared" si="11"/>
        <v>0</v>
      </c>
      <c r="Z85" s="10">
        <f t="shared" si="12"/>
        <v>0</v>
      </c>
      <c r="AA85" s="13">
        <f t="shared" si="13"/>
        <v>0</v>
      </c>
    </row>
    <row r="86" spans="1:27" ht="14.25">
      <c r="A86" s="3">
        <f t="shared" si="19"/>
        <v>84</v>
      </c>
      <c r="B86" s="29">
        <f t="shared" si="20"/>
        <v>42128</v>
      </c>
      <c r="C86" s="5">
        <f>31/57</f>
        <v>0.543859649122807</v>
      </c>
      <c r="D86" s="5">
        <f t="shared" si="27"/>
        <v>0.45614035087719296</v>
      </c>
      <c r="E86" s="6">
        <f t="shared" si="1"/>
        <v>0.08771929824561409</v>
      </c>
      <c r="F86" s="5">
        <v>0.686</v>
      </c>
      <c r="G86" s="5">
        <v>0.677</v>
      </c>
      <c r="H86" s="5">
        <v>0.6960000000000001</v>
      </c>
      <c r="I86" s="6">
        <f t="shared" si="2"/>
        <v>-0.019000000000000017</v>
      </c>
      <c r="J86" s="6">
        <f t="shared" si="29"/>
        <v>0</v>
      </c>
      <c r="M86" s="3">
        <f t="shared" si="4"/>
        <v>0</v>
      </c>
      <c r="N86" s="30">
        <f t="shared" si="30"/>
        <v>0</v>
      </c>
      <c r="O86" s="3">
        <f t="shared" si="31"/>
        <v>1</v>
      </c>
      <c r="P86" s="10">
        <f t="shared" si="7"/>
        <v>1</v>
      </c>
      <c r="Q86" s="6">
        <f t="shared" si="14"/>
        <v>0.4875</v>
      </c>
      <c r="R86" s="11">
        <v>2110.23</v>
      </c>
      <c r="S86" s="11">
        <v>2116.1</v>
      </c>
      <c r="T86" s="12">
        <f t="shared" si="8"/>
        <v>5.869999999999891</v>
      </c>
      <c r="U86" s="13">
        <f t="shared" si="9"/>
        <v>0.0027816873042274494</v>
      </c>
      <c r="V86" s="6">
        <f t="shared" si="16"/>
        <v>0.6</v>
      </c>
      <c r="W86" s="6">
        <f t="shared" si="28"/>
        <v>0.52</v>
      </c>
      <c r="X86" s="3">
        <f t="shared" si="10"/>
        <v>1</v>
      </c>
      <c r="Y86" s="3">
        <f t="shared" si="11"/>
        <v>1</v>
      </c>
      <c r="Z86" s="10">
        <f t="shared" si="12"/>
        <v>1</v>
      </c>
      <c r="AA86" s="13">
        <f t="shared" si="13"/>
        <v>0.0027816873042274494</v>
      </c>
    </row>
    <row r="87" spans="1:27" ht="14.25">
      <c r="A87" s="3">
        <f t="shared" si="19"/>
        <v>85</v>
      </c>
      <c r="B87" s="29">
        <f t="shared" si="20"/>
        <v>42135</v>
      </c>
      <c r="C87" s="5">
        <f>35/48</f>
        <v>0.7291666666666666</v>
      </c>
      <c r="D87" s="5">
        <f t="shared" si="27"/>
        <v>0.27083333333333337</v>
      </c>
      <c r="E87" s="6">
        <f t="shared" si="1"/>
        <v>0.45833333333333326</v>
      </c>
      <c r="F87" s="5">
        <v>0.65</v>
      </c>
      <c r="G87" s="5">
        <v>0.629</v>
      </c>
      <c r="H87" s="5">
        <v>0.708</v>
      </c>
      <c r="I87" s="6">
        <f t="shared" si="2"/>
        <v>-0.07899999999999996</v>
      </c>
      <c r="J87" s="6">
        <f t="shared" si="29"/>
        <v>0</v>
      </c>
      <c r="M87" s="3">
        <f t="shared" si="4"/>
        <v>0</v>
      </c>
      <c r="N87" s="30">
        <f t="shared" si="30"/>
        <v>0</v>
      </c>
      <c r="O87" s="3">
        <f t="shared" si="31"/>
        <v>1</v>
      </c>
      <c r="P87" s="10">
        <f t="shared" si="7"/>
        <v>1</v>
      </c>
      <c r="Q87" s="6">
        <f t="shared" si="14"/>
        <v>0.49382716049382713</v>
      </c>
      <c r="R87" s="11">
        <v>2115.56</v>
      </c>
      <c r="S87" s="11">
        <v>2122.73</v>
      </c>
      <c r="T87" s="12">
        <f t="shared" si="8"/>
        <v>7.170000000000073</v>
      </c>
      <c r="U87" s="13">
        <f t="shared" si="9"/>
        <v>0.0033891735521564374</v>
      </c>
      <c r="V87" s="6">
        <f t="shared" si="16"/>
        <v>0.7</v>
      </c>
      <c r="W87" s="6">
        <f t="shared" si="28"/>
        <v>0.54</v>
      </c>
      <c r="X87" s="3">
        <f t="shared" si="10"/>
        <v>1</v>
      </c>
      <c r="Y87" s="3">
        <f t="shared" si="11"/>
        <v>1</v>
      </c>
      <c r="Z87" s="10">
        <f t="shared" si="12"/>
        <v>1</v>
      </c>
      <c r="AA87" s="13">
        <f t="shared" si="13"/>
        <v>0.0033891735521564374</v>
      </c>
    </row>
    <row r="88" spans="1:27" ht="14.25">
      <c r="A88" s="3">
        <f t="shared" si="19"/>
        <v>86</v>
      </c>
      <c r="B88" s="29">
        <f t="shared" si="20"/>
        <v>42142</v>
      </c>
      <c r="C88" s="5">
        <f>36/64</f>
        <v>0.5625</v>
      </c>
      <c r="D88" s="5">
        <f t="shared" si="27"/>
        <v>0.4375</v>
      </c>
      <c r="E88" s="6">
        <f t="shared" si="1"/>
        <v>0.125</v>
      </c>
      <c r="F88" s="5">
        <v>0.652</v>
      </c>
      <c r="G88" s="5">
        <v>0.65</v>
      </c>
      <c r="H88" s="5">
        <v>0.654</v>
      </c>
      <c r="I88" s="6">
        <f t="shared" si="2"/>
        <v>-0.0040000000000000036</v>
      </c>
      <c r="J88" s="6">
        <f t="shared" si="29"/>
        <v>0</v>
      </c>
      <c r="M88" s="3">
        <f t="shared" si="4"/>
        <v>0</v>
      </c>
      <c r="N88" s="30">
        <f t="shared" si="30"/>
        <v>0</v>
      </c>
      <c r="O88" s="3">
        <f t="shared" si="31"/>
        <v>1</v>
      </c>
      <c r="P88" s="10">
        <f t="shared" si="7"/>
        <v>1</v>
      </c>
      <c r="Q88" s="6">
        <f t="shared" si="14"/>
        <v>0.5</v>
      </c>
      <c r="R88" s="11">
        <v>2121.3</v>
      </c>
      <c r="S88" s="11">
        <v>2126.06</v>
      </c>
      <c r="T88" s="12">
        <f t="shared" si="8"/>
        <v>4.7599999999997635</v>
      </c>
      <c r="U88" s="13">
        <f t="shared" si="9"/>
        <v>0.00224390703813688</v>
      </c>
      <c r="V88" s="6">
        <f t="shared" si="16"/>
        <v>0.7</v>
      </c>
      <c r="W88" s="6">
        <f t="shared" si="28"/>
        <v>0.54</v>
      </c>
      <c r="X88" s="3">
        <f t="shared" si="10"/>
        <v>1</v>
      </c>
      <c r="Y88" s="3">
        <f t="shared" si="11"/>
        <v>1</v>
      </c>
      <c r="Z88" s="10">
        <f t="shared" si="12"/>
        <v>1</v>
      </c>
      <c r="AA88" s="13">
        <f t="shared" si="13"/>
        <v>0.00224390703813688</v>
      </c>
    </row>
    <row r="89" spans="1:27" ht="14.25">
      <c r="A89" s="3">
        <f t="shared" si="19"/>
        <v>87</v>
      </c>
      <c r="B89" s="29">
        <f t="shared" si="20"/>
        <v>42149</v>
      </c>
      <c r="C89" s="5">
        <f>32/61</f>
        <v>0.5245901639344263</v>
      </c>
      <c r="D89" s="5">
        <f t="shared" si="27"/>
        <v>0.47540983606557374</v>
      </c>
      <c r="E89" s="6">
        <f t="shared" si="1"/>
        <v>0.049180327868852514</v>
      </c>
      <c r="F89" s="5">
        <v>0.63</v>
      </c>
      <c r="G89" s="5">
        <v>0.594</v>
      </c>
      <c r="H89" s="5">
        <v>0.672</v>
      </c>
      <c r="I89" s="6">
        <f t="shared" si="2"/>
        <v>-0.07800000000000007</v>
      </c>
      <c r="J89" s="6">
        <f t="shared" si="29"/>
        <v>0</v>
      </c>
      <c r="M89" s="3">
        <f t="shared" si="4"/>
        <v>0</v>
      </c>
      <c r="N89" s="30">
        <f t="shared" si="30"/>
        <v>0</v>
      </c>
      <c r="O89" s="3">
        <f t="shared" si="31"/>
        <v>0</v>
      </c>
      <c r="P89" s="10">
        <f t="shared" si="7"/>
        <v>0</v>
      </c>
      <c r="Q89" s="6">
        <f t="shared" si="14"/>
        <v>0.4939759036144578</v>
      </c>
      <c r="R89" s="11">
        <v>2125.34</v>
      </c>
      <c r="S89" s="11">
        <v>2107.39</v>
      </c>
      <c r="T89" s="12">
        <f t="shared" si="8"/>
        <v>-17.950000000000273</v>
      </c>
      <c r="U89" s="13">
        <f t="shared" si="9"/>
        <v>-0.008445707510327888</v>
      </c>
      <c r="V89" s="6">
        <f t="shared" si="16"/>
        <v>0.6363636363636364</v>
      </c>
      <c r="W89" s="6">
        <f t="shared" si="28"/>
        <v>0.52</v>
      </c>
      <c r="X89" s="3">
        <f t="shared" si="10"/>
        <v>1</v>
      </c>
      <c r="Y89" s="3">
        <f t="shared" si="11"/>
        <v>1</v>
      </c>
      <c r="Z89" s="10">
        <f t="shared" si="12"/>
        <v>0</v>
      </c>
      <c r="AA89" s="13">
        <f t="shared" si="13"/>
        <v>-0.008445707510327888</v>
      </c>
    </row>
    <row r="90" spans="1:27" ht="14.25">
      <c r="A90" s="3">
        <f t="shared" si="19"/>
        <v>88</v>
      </c>
      <c r="B90" s="29">
        <f t="shared" si="20"/>
        <v>42156</v>
      </c>
      <c r="C90" s="5">
        <f>26/69</f>
        <v>0.37681159420289856</v>
      </c>
      <c r="D90" s="5">
        <f t="shared" si="27"/>
        <v>0.6231884057971014</v>
      </c>
      <c r="E90" s="6">
        <f t="shared" si="1"/>
        <v>-0.24637681159420288</v>
      </c>
      <c r="F90" s="5">
        <v>0.607</v>
      </c>
      <c r="G90" s="5">
        <v>0.5650000000000001</v>
      </c>
      <c r="H90" s="5">
        <v>0.633</v>
      </c>
      <c r="I90" s="6">
        <f t="shared" si="2"/>
        <v>-0.06799999999999995</v>
      </c>
      <c r="J90" s="6">
        <f t="shared" si="29"/>
        <v>0</v>
      </c>
      <c r="M90" s="3">
        <f t="shared" si="4"/>
        <v>0</v>
      </c>
      <c r="N90" s="30">
        <f t="shared" si="30"/>
        <v>0</v>
      </c>
      <c r="O90" s="3">
        <f t="shared" si="31"/>
        <v>1</v>
      </c>
      <c r="P90" s="10">
        <f t="shared" si="7"/>
        <v>0</v>
      </c>
      <c r="Q90" s="6">
        <f t="shared" si="14"/>
        <v>0.5</v>
      </c>
      <c r="R90" s="11">
        <v>2108.64</v>
      </c>
      <c r="S90" s="11">
        <v>2092.83</v>
      </c>
      <c r="T90" s="12">
        <f t="shared" si="8"/>
        <v>-15.809999999999945</v>
      </c>
      <c r="U90" s="13">
        <f t="shared" si="9"/>
        <v>-0.007497723651263348</v>
      </c>
      <c r="V90" s="6">
        <f t="shared" si="16"/>
        <v>0.6363636363636364</v>
      </c>
      <c r="W90" s="6">
        <f t="shared" si="28"/>
        <v>0.54</v>
      </c>
      <c r="X90" s="3">
        <f t="shared" si="10"/>
        <v>0</v>
      </c>
      <c r="Y90" s="3">
        <f t="shared" si="11"/>
        <v>1</v>
      </c>
      <c r="Z90" s="10">
        <f t="shared" si="12"/>
        <v>0</v>
      </c>
      <c r="AA90" s="13">
        <f t="shared" si="13"/>
        <v>0</v>
      </c>
    </row>
    <row r="91" spans="1:27" ht="14.25">
      <c r="A91" s="3">
        <f t="shared" si="19"/>
        <v>89</v>
      </c>
      <c r="B91" s="29">
        <f t="shared" si="20"/>
        <v>42163</v>
      </c>
      <c r="C91" s="5">
        <f>28/75</f>
        <v>0.37333333333333335</v>
      </c>
      <c r="D91" s="5">
        <f t="shared" si="27"/>
        <v>0.6266666666666667</v>
      </c>
      <c r="E91" s="6">
        <f t="shared" si="1"/>
        <v>-0.25333333333333335</v>
      </c>
      <c r="F91" s="5">
        <v>0.644</v>
      </c>
      <c r="G91" s="5">
        <v>0.607</v>
      </c>
      <c r="H91" s="5">
        <v>0.666</v>
      </c>
      <c r="I91" s="6">
        <f t="shared" si="2"/>
        <v>-0.05900000000000005</v>
      </c>
      <c r="J91" s="6">
        <f t="shared" si="29"/>
        <v>0</v>
      </c>
      <c r="M91" s="3">
        <f t="shared" si="4"/>
        <v>0</v>
      </c>
      <c r="N91" s="30">
        <f t="shared" si="30"/>
        <v>0</v>
      </c>
      <c r="O91" s="3">
        <f t="shared" si="31"/>
        <v>0</v>
      </c>
      <c r="P91" s="10">
        <f t="shared" si="7"/>
        <v>1</v>
      </c>
      <c r="Q91" s="6">
        <f t="shared" si="14"/>
        <v>0.49411764705882355</v>
      </c>
      <c r="R91" s="11">
        <v>2092.34</v>
      </c>
      <c r="S91" s="11">
        <v>2094.11</v>
      </c>
      <c r="T91" s="12">
        <f t="shared" si="8"/>
        <v>1.7699999999999818</v>
      </c>
      <c r="U91" s="13">
        <f t="shared" si="9"/>
        <v>0.0008459428200005648</v>
      </c>
      <c r="V91" s="6">
        <f t="shared" si="16"/>
        <v>0.6363636363636364</v>
      </c>
      <c r="W91" s="6">
        <f t="shared" si="28"/>
        <v>0.54</v>
      </c>
      <c r="X91" s="3">
        <f t="shared" si="10"/>
        <v>0</v>
      </c>
      <c r="Y91" s="3">
        <f t="shared" si="11"/>
        <v>1</v>
      </c>
      <c r="Z91" s="10">
        <f t="shared" si="12"/>
        <v>0</v>
      </c>
      <c r="AA91" s="13">
        <f t="shared" si="13"/>
        <v>0</v>
      </c>
    </row>
    <row r="92" spans="1:27" ht="14.25">
      <c r="A92" s="3">
        <f t="shared" si="19"/>
        <v>90</v>
      </c>
      <c r="B92" s="29">
        <f t="shared" si="20"/>
        <v>42170</v>
      </c>
      <c r="C92" s="5">
        <f>41/81</f>
        <v>0.5061728395061729</v>
      </c>
      <c r="D92" s="5">
        <f t="shared" si="27"/>
        <v>0.49382716049382713</v>
      </c>
      <c r="E92" s="6">
        <f t="shared" si="1"/>
        <v>0.012345679012345734</v>
      </c>
      <c r="F92" s="5">
        <v>0.636</v>
      </c>
      <c r="G92" s="5">
        <v>0.61</v>
      </c>
      <c r="H92" s="5">
        <v>0.663</v>
      </c>
      <c r="I92" s="6">
        <f t="shared" si="2"/>
        <v>-0.05300000000000005</v>
      </c>
      <c r="J92" s="6">
        <f t="shared" si="29"/>
        <v>0</v>
      </c>
      <c r="M92" s="3">
        <f t="shared" si="4"/>
        <v>0</v>
      </c>
      <c r="N92" s="30">
        <f t="shared" si="30"/>
        <v>0</v>
      </c>
      <c r="O92" s="3">
        <f t="shared" si="31"/>
        <v>1</v>
      </c>
      <c r="P92" s="10">
        <f t="shared" si="7"/>
        <v>1</v>
      </c>
      <c r="Q92" s="6">
        <f t="shared" si="14"/>
        <v>0.5</v>
      </c>
      <c r="R92" s="11">
        <v>2091.34</v>
      </c>
      <c r="S92" s="11">
        <v>2109.99</v>
      </c>
      <c r="T92" s="12">
        <f t="shared" si="8"/>
        <v>18.649999999999636</v>
      </c>
      <c r="U92" s="13">
        <f t="shared" si="9"/>
        <v>0.008917727390094214</v>
      </c>
      <c r="V92" s="6">
        <f t="shared" si="16"/>
        <v>0.6363636363636364</v>
      </c>
      <c r="W92" s="6">
        <f t="shared" si="28"/>
        <v>0.56</v>
      </c>
      <c r="X92" s="3">
        <f t="shared" si="10"/>
        <v>1</v>
      </c>
      <c r="Y92" s="3">
        <f t="shared" si="11"/>
        <v>1</v>
      </c>
      <c r="Z92" s="10">
        <f t="shared" si="12"/>
        <v>1</v>
      </c>
      <c r="AA92" s="13">
        <f t="shared" si="13"/>
        <v>0.008917727390094214</v>
      </c>
    </row>
    <row r="93" spans="1:27" ht="14.25">
      <c r="A93" s="3">
        <f t="shared" si="19"/>
        <v>91</v>
      </c>
      <c r="B93" s="29">
        <f t="shared" si="20"/>
        <v>42177</v>
      </c>
      <c r="C93" s="5">
        <f>25/60</f>
        <v>0.4166666666666667</v>
      </c>
      <c r="D93" s="5">
        <f t="shared" si="27"/>
        <v>0.5833333333333333</v>
      </c>
      <c r="E93" s="6">
        <f t="shared" si="1"/>
        <v>-0.16666666666666657</v>
      </c>
      <c r="F93" s="5">
        <v>0.643</v>
      </c>
      <c r="G93" s="5">
        <v>0.64</v>
      </c>
      <c r="H93" s="5">
        <v>0.646</v>
      </c>
      <c r="I93" s="6">
        <f t="shared" si="2"/>
        <v>-0.006000000000000005</v>
      </c>
      <c r="J93" s="6">
        <f t="shared" si="29"/>
        <v>0</v>
      </c>
      <c r="M93" s="3">
        <f t="shared" si="4"/>
        <v>0</v>
      </c>
      <c r="N93" s="30">
        <f t="shared" si="30"/>
        <v>0</v>
      </c>
      <c r="O93" s="3">
        <f t="shared" si="31"/>
        <v>1</v>
      </c>
      <c r="P93" s="10">
        <f t="shared" si="7"/>
        <v>0</v>
      </c>
      <c r="Q93" s="6">
        <f t="shared" si="14"/>
        <v>0.5057471264367817</v>
      </c>
      <c r="R93" s="11">
        <v>2112.5</v>
      </c>
      <c r="S93" s="11">
        <v>2101.61</v>
      </c>
      <c r="T93" s="12">
        <f t="shared" si="8"/>
        <v>-10.889999999999873</v>
      </c>
      <c r="U93" s="13">
        <f t="shared" si="9"/>
        <v>-0.005155029585798756</v>
      </c>
      <c r="V93" s="6">
        <f t="shared" si="16"/>
        <v>0.6363636363636364</v>
      </c>
      <c r="W93" s="6">
        <f t="shared" si="28"/>
        <v>0.56</v>
      </c>
      <c r="X93" s="3">
        <f t="shared" si="10"/>
        <v>0</v>
      </c>
      <c r="Y93" s="3">
        <f t="shared" si="11"/>
        <v>1</v>
      </c>
      <c r="Z93" s="10">
        <f t="shared" si="12"/>
        <v>0</v>
      </c>
      <c r="AA93" s="13">
        <f t="shared" si="13"/>
        <v>0</v>
      </c>
    </row>
    <row r="94" spans="1:27" ht="14.25">
      <c r="A94" s="3">
        <f t="shared" si="19"/>
        <v>92</v>
      </c>
      <c r="B94" s="29">
        <f t="shared" si="20"/>
        <v>42184</v>
      </c>
      <c r="C94" s="5">
        <f>40/73</f>
        <v>0.547945205479452</v>
      </c>
      <c r="D94" s="5">
        <f t="shared" si="27"/>
        <v>0.452054794520548</v>
      </c>
      <c r="E94" s="6">
        <f t="shared" si="1"/>
        <v>0.09589041095890405</v>
      </c>
      <c r="F94" s="5">
        <v>0.63</v>
      </c>
      <c r="G94" s="5">
        <v>0.608</v>
      </c>
      <c r="H94" s="5">
        <v>0.658</v>
      </c>
      <c r="I94" s="6">
        <f t="shared" si="2"/>
        <v>-0.050000000000000044</v>
      </c>
      <c r="J94" s="6">
        <f t="shared" si="29"/>
        <v>0</v>
      </c>
      <c r="M94" s="3">
        <f t="shared" si="4"/>
        <v>0</v>
      </c>
      <c r="N94" s="30">
        <f t="shared" si="30"/>
        <v>0</v>
      </c>
      <c r="O94" s="3">
        <f t="shared" si="31"/>
        <v>0</v>
      </c>
      <c r="P94" s="10">
        <f t="shared" si="7"/>
        <v>0</v>
      </c>
      <c r="Q94" s="6">
        <f t="shared" si="14"/>
        <v>0.5</v>
      </c>
      <c r="R94" s="11">
        <v>2098.63</v>
      </c>
      <c r="S94" s="11">
        <v>2076.78</v>
      </c>
      <c r="T94" s="12">
        <f t="shared" si="8"/>
        <v>-21.84999999999991</v>
      </c>
      <c r="U94" s="13">
        <f t="shared" si="9"/>
        <v>-0.0104115542044095</v>
      </c>
      <c r="V94" s="6">
        <f t="shared" si="16"/>
        <v>0.6363636363636364</v>
      </c>
      <c r="W94" s="6">
        <f t="shared" si="28"/>
        <v>0.56</v>
      </c>
      <c r="X94" s="3">
        <f t="shared" si="10"/>
        <v>1</v>
      </c>
      <c r="Y94" s="3">
        <f t="shared" si="11"/>
        <v>1</v>
      </c>
      <c r="Z94" s="10">
        <f t="shared" si="12"/>
        <v>0</v>
      </c>
      <c r="AA94" s="13">
        <f t="shared" si="13"/>
        <v>-0.0104115542044095</v>
      </c>
    </row>
    <row r="95" spans="1:27" ht="14.25">
      <c r="A95" s="3">
        <f t="shared" si="19"/>
        <v>93</v>
      </c>
      <c r="B95" s="29">
        <f t="shared" si="20"/>
        <v>42191</v>
      </c>
      <c r="C95" s="5">
        <f>31/71</f>
        <v>0.43661971830985913</v>
      </c>
      <c r="D95" s="5">
        <f t="shared" si="27"/>
        <v>0.5633802816901409</v>
      </c>
      <c r="E95" s="6">
        <f t="shared" si="1"/>
        <v>-0.12676056338028174</v>
      </c>
      <c r="F95" s="5">
        <v>0.632</v>
      </c>
      <c r="G95" s="5">
        <v>0.581</v>
      </c>
      <c r="H95" s="5">
        <v>0.673</v>
      </c>
      <c r="I95" s="6">
        <f t="shared" si="2"/>
        <v>-0.09200000000000008</v>
      </c>
      <c r="J95" s="6">
        <f t="shared" si="29"/>
        <v>0</v>
      </c>
      <c r="M95" s="3">
        <f t="shared" si="4"/>
        <v>0</v>
      </c>
      <c r="N95" s="30">
        <f t="shared" si="30"/>
        <v>0</v>
      </c>
      <c r="O95" s="3">
        <f t="shared" si="31"/>
        <v>0</v>
      </c>
      <c r="P95" s="10">
        <f t="shared" si="7"/>
        <v>1</v>
      </c>
      <c r="Q95" s="6">
        <f t="shared" si="14"/>
        <v>0.4943820224719101</v>
      </c>
      <c r="R95" s="11">
        <v>2073.95</v>
      </c>
      <c r="S95" s="11">
        <v>2076.62</v>
      </c>
      <c r="T95" s="12">
        <f t="shared" si="8"/>
        <v>2.6700000000000728</v>
      </c>
      <c r="U95" s="13">
        <f t="shared" si="9"/>
        <v>0.0012873984425854398</v>
      </c>
      <c r="V95" s="6">
        <f t="shared" si="16"/>
        <v>0.5454545454545454</v>
      </c>
      <c r="W95" s="6">
        <f t="shared" si="28"/>
        <v>0.54</v>
      </c>
      <c r="X95" s="3">
        <f t="shared" si="10"/>
        <v>0</v>
      </c>
      <c r="Y95" s="3">
        <f t="shared" si="11"/>
        <v>1</v>
      </c>
      <c r="Z95" s="10">
        <f t="shared" si="12"/>
        <v>0</v>
      </c>
      <c r="AA95" s="13">
        <f t="shared" si="13"/>
        <v>0</v>
      </c>
    </row>
    <row r="96" spans="1:27" ht="14.25">
      <c r="A96" s="3">
        <f t="shared" si="19"/>
        <v>94</v>
      </c>
      <c r="B96" s="29">
        <f t="shared" si="20"/>
        <v>42198</v>
      </c>
      <c r="C96" s="5">
        <f>38/60</f>
        <v>0.6333333333333333</v>
      </c>
      <c r="D96" s="5">
        <f t="shared" si="27"/>
        <v>0.3666666666666667</v>
      </c>
      <c r="E96" s="6">
        <f t="shared" si="1"/>
        <v>0.2666666666666666</v>
      </c>
      <c r="F96" s="5">
        <v>0.622</v>
      </c>
      <c r="G96" s="5">
        <v>0.626</v>
      </c>
      <c r="H96" s="5">
        <v>0.614</v>
      </c>
      <c r="I96" s="6">
        <f t="shared" si="2"/>
        <v>0.01200000000000001</v>
      </c>
      <c r="J96" s="6">
        <f t="shared" si="29"/>
        <v>0</v>
      </c>
      <c r="M96" s="3">
        <f t="shared" si="4"/>
        <v>0</v>
      </c>
      <c r="N96" s="30">
        <f t="shared" si="30"/>
        <v>0</v>
      </c>
      <c r="O96" s="3">
        <f t="shared" si="31"/>
        <v>1</v>
      </c>
      <c r="P96" s="10">
        <f t="shared" si="7"/>
        <v>1</v>
      </c>
      <c r="Q96" s="6">
        <f t="shared" si="14"/>
        <v>0.5</v>
      </c>
      <c r="R96" s="11">
        <v>2080.03</v>
      </c>
      <c r="S96" s="11">
        <v>2126.64</v>
      </c>
      <c r="T96" s="12">
        <f t="shared" si="8"/>
        <v>46.60999999999967</v>
      </c>
      <c r="U96" s="13">
        <f t="shared" si="9"/>
        <v>0.02240833064907702</v>
      </c>
      <c r="V96" s="6">
        <f t="shared" si="16"/>
        <v>0.6363636363636364</v>
      </c>
      <c r="W96" s="6">
        <f t="shared" si="28"/>
        <v>0.56</v>
      </c>
      <c r="X96" s="3">
        <f t="shared" si="10"/>
        <v>1</v>
      </c>
      <c r="Y96" s="3">
        <f t="shared" si="11"/>
        <v>0</v>
      </c>
      <c r="Z96" s="10">
        <f t="shared" si="12"/>
        <v>0</v>
      </c>
      <c r="AA96" s="13">
        <f t="shared" si="13"/>
        <v>0</v>
      </c>
    </row>
    <row r="97" spans="1:27" ht="14.25">
      <c r="A97" s="3">
        <f t="shared" si="19"/>
        <v>95</v>
      </c>
      <c r="B97" s="29">
        <f t="shared" si="20"/>
        <v>42205</v>
      </c>
      <c r="C97" s="5">
        <f>44/62</f>
        <v>0.7096774193548387</v>
      </c>
      <c r="D97" s="5">
        <f t="shared" si="27"/>
        <v>0.29032258064516125</v>
      </c>
      <c r="E97" s="6">
        <f t="shared" si="1"/>
        <v>0.4193548387096775</v>
      </c>
      <c r="F97" s="5">
        <v>0.621</v>
      </c>
      <c r="G97" s="5">
        <v>0.627</v>
      </c>
      <c r="H97" s="5">
        <v>0.606</v>
      </c>
      <c r="I97" s="6">
        <f t="shared" si="2"/>
        <v>0.02100000000000002</v>
      </c>
      <c r="J97" s="6">
        <f t="shared" si="29"/>
        <v>0</v>
      </c>
      <c r="M97" s="3">
        <f t="shared" si="4"/>
        <v>0</v>
      </c>
      <c r="N97" s="30">
        <f t="shared" si="30"/>
        <v>0</v>
      </c>
      <c r="O97" s="3">
        <f t="shared" si="31"/>
        <v>0</v>
      </c>
      <c r="P97" s="10">
        <f t="shared" si="7"/>
        <v>0</v>
      </c>
      <c r="Q97" s="6">
        <f t="shared" si="14"/>
        <v>0.4945054945054945</v>
      </c>
      <c r="R97" s="11">
        <v>2126.85</v>
      </c>
      <c r="S97" s="11">
        <v>2079.65</v>
      </c>
      <c r="T97" s="12">
        <f t="shared" si="8"/>
        <v>-47.19999999999982</v>
      </c>
      <c r="U97" s="13">
        <f t="shared" si="9"/>
        <v>-0.022192444225027537</v>
      </c>
      <c r="V97" s="6">
        <f t="shared" si="16"/>
        <v>0.5454545454545454</v>
      </c>
      <c r="W97" s="6">
        <f t="shared" si="28"/>
        <v>0.54</v>
      </c>
      <c r="X97" s="3">
        <f t="shared" si="10"/>
        <v>1</v>
      </c>
      <c r="Y97" s="3">
        <f t="shared" si="11"/>
        <v>0</v>
      </c>
      <c r="Z97" s="10">
        <f t="shared" si="12"/>
        <v>0</v>
      </c>
      <c r="AA97" s="13">
        <f t="shared" si="13"/>
        <v>0</v>
      </c>
    </row>
    <row r="98" spans="1:27" ht="14.25">
      <c r="A98" s="3">
        <f t="shared" si="19"/>
        <v>96</v>
      </c>
      <c r="B98" s="29">
        <f t="shared" si="20"/>
        <v>42212</v>
      </c>
      <c r="C98" s="5">
        <f>22/60</f>
        <v>0.36666666666666664</v>
      </c>
      <c r="D98" s="5">
        <f t="shared" si="27"/>
        <v>0.6333333333333333</v>
      </c>
      <c r="E98" s="6">
        <f t="shared" si="1"/>
        <v>-0.26666666666666666</v>
      </c>
      <c r="F98" s="5">
        <v>0.602</v>
      </c>
      <c r="G98" s="5">
        <v>0.482</v>
      </c>
      <c r="H98" s="5">
        <v>0.671</v>
      </c>
      <c r="I98" s="6">
        <f t="shared" si="2"/>
        <v>-0.18900000000000006</v>
      </c>
      <c r="J98" s="6">
        <f t="shared" si="29"/>
        <v>0</v>
      </c>
      <c r="M98" s="3">
        <f t="shared" si="4"/>
        <v>0</v>
      </c>
      <c r="N98" s="30">
        <f t="shared" si="30"/>
        <v>0</v>
      </c>
      <c r="O98" s="3">
        <f t="shared" si="31"/>
        <v>0</v>
      </c>
      <c r="P98" s="10">
        <f t="shared" si="7"/>
        <v>1</v>
      </c>
      <c r="Q98" s="6">
        <f t="shared" si="14"/>
        <v>0.4891304347826087</v>
      </c>
      <c r="R98" s="11">
        <v>2078.19</v>
      </c>
      <c r="S98" s="11">
        <v>2103.84</v>
      </c>
      <c r="T98" s="12">
        <f t="shared" si="8"/>
        <v>25.65000000000009</v>
      </c>
      <c r="U98" s="13">
        <f t="shared" si="9"/>
        <v>0.012342471092633537</v>
      </c>
      <c r="V98" s="6">
        <f t="shared" si="16"/>
        <v>0.45454545454545453</v>
      </c>
      <c r="W98" s="6">
        <f t="shared" si="28"/>
        <v>0.54</v>
      </c>
      <c r="X98" s="3">
        <f t="shared" si="10"/>
        <v>0</v>
      </c>
      <c r="Y98" s="3">
        <f t="shared" si="11"/>
        <v>1</v>
      </c>
      <c r="Z98" s="10">
        <f t="shared" si="12"/>
        <v>0</v>
      </c>
      <c r="AA98" s="13">
        <f t="shared" si="13"/>
        <v>0</v>
      </c>
    </row>
    <row r="99" spans="1:27" ht="14.25">
      <c r="A99" s="3">
        <f t="shared" si="19"/>
        <v>97</v>
      </c>
      <c r="B99" s="29">
        <f t="shared" si="20"/>
        <v>42219</v>
      </c>
      <c r="C99" s="5">
        <f>38/70</f>
        <v>0.5428571428571428</v>
      </c>
      <c r="D99" s="5">
        <f t="shared" si="27"/>
        <v>0.4571428571428572</v>
      </c>
      <c r="E99" s="6">
        <f t="shared" si="1"/>
        <v>0.08571428571428563</v>
      </c>
      <c r="F99" s="5">
        <v>0.644</v>
      </c>
      <c r="G99" s="5">
        <v>0.629</v>
      </c>
      <c r="H99" s="5">
        <v>0.663</v>
      </c>
      <c r="I99" s="6">
        <f t="shared" si="2"/>
        <v>-0.03400000000000003</v>
      </c>
      <c r="J99" s="6">
        <f t="shared" si="29"/>
        <v>0</v>
      </c>
      <c r="M99" s="3">
        <f t="shared" si="4"/>
        <v>0</v>
      </c>
      <c r="N99" s="30">
        <f t="shared" si="30"/>
        <v>0</v>
      </c>
      <c r="O99" s="3">
        <f t="shared" si="31"/>
        <v>0</v>
      </c>
      <c r="P99" s="10">
        <f t="shared" si="7"/>
        <v>0</v>
      </c>
      <c r="Q99" s="6">
        <f t="shared" si="14"/>
        <v>0.4838709677419355</v>
      </c>
      <c r="R99" s="11">
        <v>2104.49</v>
      </c>
      <c r="S99" s="11">
        <v>2077.57</v>
      </c>
      <c r="T99" s="12">
        <f t="shared" si="8"/>
        <v>-26.919999999999618</v>
      </c>
      <c r="U99" s="13">
        <f t="shared" si="9"/>
        <v>-0.012791697750998874</v>
      </c>
      <c r="V99" s="6">
        <f t="shared" si="16"/>
        <v>0.36363636363636365</v>
      </c>
      <c r="W99" s="6">
        <f t="shared" si="28"/>
        <v>0.52</v>
      </c>
      <c r="X99" s="3">
        <f t="shared" si="10"/>
        <v>1</v>
      </c>
      <c r="Y99" s="3">
        <f t="shared" si="11"/>
        <v>1</v>
      </c>
      <c r="Z99" s="10">
        <f t="shared" si="12"/>
        <v>0</v>
      </c>
      <c r="AA99" s="13">
        <f t="shared" si="13"/>
        <v>-0.012791697750998874</v>
      </c>
    </row>
    <row r="100" spans="1:27" ht="14.25">
      <c r="A100" s="3">
        <f t="shared" si="19"/>
        <v>98</v>
      </c>
      <c r="B100" s="29">
        <f t="shared" si="20"/>
        <v>42226</v>
      </c>
      <c r="C100" s="5">
        <f>23/43</f>
        <v>0.5348837209302325</v>
      </c>
      <c r="D100" s="5">
        <f t="shared" si="27"/>
        <v>0.4651162790697675</v>
      </c>
      <c r="E100" s="6">
        <f t="shared" si="1"/>
        <v>0.06976744186046502</v>
      </c>
      <c r="F100" s="5">
        <v>0.7012</v>
      </c>
      <c r="G100" s="5">
        <v>0.6912999999999999</v>
      </c>
      <c r="H100" s="5">
        <v>0.7125</v>
      </c>
      <c r="I100" s="6">
        <f t="shared" si="2"/>
        <v>-0.021200000000000108</v>
      </c>
      <c r="J100" s="6">
        <f t="shared" si="29"/>
        <v>0</v>
      </c>
      <c r="M100" s="3">
        <f t="shared" si="4"/>
        <v>0</v>
      </c>
      <c r="N100" s="30">
        <f t="shared" si="30"/>
        <v>0</v>
      </c>
      <c r="O100" s="3">
        <f t="shared" si="31"/>
        <v>1</v>
      </c>
      <c r="P100" s="10">
        <f t="shared" si="7"/>
        <v>1</v>
      </c>
      <c r="Q100" s="6">
        <f t="shared" si="14"/>
        <v>0.48936170212765956</v>
      </c>
      <c r="R100" s="11">
        <v>2080.98</v>
      </c>
      <c r="S100" s="11">
        <v>2091.54</v>
      </c>
      <c r="T100" s="12">
        <f t="shared" si="8"/>
        <v>10.559999999999945</v>
      </c>
      <c r="U100" s="13">
        <f t="shared" si="9"/>
        <v>0.005074532191563564</v>
      </c>
      <c r="V100" s="6">
        <f t="shared" si="16"/>
        <v>0.45454545454545453</v>
      </c>
      <c r="W100" s="6">
        <f t="shared" si="28"/>
        <v>0.52</v>
      </c>
      <c r="X100" s="3">
        <f t="shared" si="10"/>
        <v>1</v>
      </c>
      <c r="Y100" s="3">
        <f t="shared" si="11"/>
        <v>1</v>
      </c>
      <c r="Z100" s="10">
        <f t="shared" si="12"/>
        <v>1</v>
      </c>
      <c r="AA100" s="13">
        <f t="shared" si="13"/>
        <v>0.005074532191563564</v>
      </c>
    </row>
    <row r="101" spans="1:27" ht="14.25">
      <c r="A101" s="3">
        <f t="shared" si="19"/>
        <v>99</v>
      </c>
      <c r="B101" s="29">
        <f t="shared" si="20"/>
        <v>42233</v>
      </c>
      <c r="C101" s="5">
        <f>34/50</f>
        <v>0.68</v>
      </c>
      <c r="D101" s="5">
        <f t="shared" si="27"/>
        <v>0.31999999999999995</v>
      </c>
      <c r="E101" s="6">
        <f t="shared" si="1"/>
        <v>0.3600000000000001</v>
      </c>
      <c r="F101" s="5">
        <v>0.69</v>
      </c>
      <c r="G101" s="5">
        <v>0.6631999999999999</v>
      </c>
      <c r="H101" s="5">
        <v>0.7469</v>
      </c>
      <c r="I101" s="6">
        <f t="shared" si="2"/>
        <v>-0.08370000000000011</v>
      </c>
      <c r="J101" s="6">
        <f t="shared" si="29"/>
        <v>0</v>
      </c>
      <c r="M101" s="3">
        <f t="shared" si="4"/>
        <v>0</v>
      </c>
      <c r="N101" s="30">
        <f t="shared" si="30"/>
        <v>0</v>
      </c>
      <c r="O101" s="3">
        <f t="shared" si="31"/>
        <v>0</v>
      </c>
      <c r="P101" s="10">
        <f t="shared" si="7"/>
        <v>0</v>
      </c>
      <c r="Q101" s="6">
        <f t="shared" si="14"/>
        <v>0.4842105263157895</v>
      </c>
      <c r="R101" s="11">
        <v>2089.7</v>
      </c>
      <c r="S101" s="11">
        <v>1970.89</v>
      </c>
      <c r="T101" s="12">
        <f t="shared" si="8"/>
        <v>-118.80999999999972</v>
      </c>
      <c r="U101" s="13">
        <f t="shared" si="9"/>
        <v>-0.05685505096425311</v>
      </c>
      <c r="V101" s="6">
        <f t="shared" si="16"/>
        <v>0.36363636363636365</v>
      </c>
      <c r="W101" s="6">
        <f t="shared" si="28"/>
        <v>0.5</v>
      </c>
      <c r="X101" s="3">
        <f t="shared" si="10"/>
        <v>1</v>
      </c>
      <c r="Y101" s="3">
        <f t="shared" si="11"/>
        <v>1</v>
      </c>
      <c r="Z101" s="10">
        <f t="shared" si="12"/>
        <v>0</v>
      </c>
      <c r="AA101" s="13">
        <f t="shared" si="13"/>
        <v>-0.05685505096425311</v>
      </c>
    </row>
    <row r="102" spans="1:27" ht="14.25">
      <c r="A102" s="3">
        <f t="shared" si="19"/>
        <v>100</v>
      </c>
      <c r="B102" s="29">
        <f t="shared" si="20"/>
        <v>42240</v>
      </c>
      <c r="C102" s="5">
        <f>42/74</f>
        <v>0.5675675675675675</v>
      </c>
      <c r="D102" s="5">
        <f t="shared" si="27"/>
        <v>0.43243243243243246</v>
      </c>
      <c r="E102" s="6">
        <f t="shared" si="1"/>
        <v>0.1351351351351351</v>
      </c>
      <c r="F102" s="5">
        <v>0.6993</v>
      </c>
      <c r="G102" s="5">
        <v>0.6869</v>
      </c>
      <c r="H102" s="5">
        <v>0.7156</v>
      </c>
      <c r="I102" s="6">
        <f t="shared" si="2"/>
        <v>-0.02870000000000006</v>
      </c>
      <c r="J102" s="6">
        <f t="shared" si="29"/>
        <v>0</v>
      </c>
      <c r="M102" s="3">
        <f t="shared" si="4"/>
        <v>0</v>
      </c>
      <c r="N102" s="30">
        <f t="shared" si="30"/>
        <v>0</v>
      </c>
      <c r="O102" s="3">
        <f t="shared" si="31"/>
        <v>0</v>
      </c>
      <c r="P102" s="10">
        <f t="shared" si="7"/>
        <v>0</v>
      </c>
      <c r="Q102" s="6">
        <f t="shared" si="14"/>
        <v>0.4791666666666667</v>
      </c>
      <c r="R102" s="11">
        <v>2034.08</v>
      </c>
      <c r="S102" s="11">
        <v>1988.87</v>
      </c>
      <c r="T102" s="12">
        <f t="shared" si="8"/>
        <v>-45.210000000000036</v>
      </c>
      <c r="U102" s="13">
        <f t="shared" si="9"/>
        <v>-0.02222626445370882</v>
      </c>
      <c r="V102" s="6">
        <f t="shared" si="16"/>
        <v>0.36363636363636365</v>
      </c>
      <c r="W102" s="6">
        <f t="shared" si="28"/>
        <v>0.5</v>
      </c>
      <c r="X102" s="3">
        <f t="shared" si="10"/>
        <v>1</v>
      </c>
      <c r="Y102" s="3">
        <f t="shared" si="11"/>
        <v>1</v>
      </c>
      <c r="Z102" s="10">
        <f t="shared" si="12"/>
        <v>0</v>
      </c>
      <c r="AA102" s="13">
        <f t="shared" si="13"/>
        <v>-0.02222626445370882</v>
      </c>
    </row>
    <row r="103" spans="1:27" ht="14.25">
      <c r="A103" s="3">
        <f t="shared" si="19"/>
        <v>101</v>
      </c>
      <c r="B103" s="29">
        <f t="shared" si="20"/>
        <v>42247</v>
      </c>
      <c r="C103" s="5">
        <f>20/52</f>
        <v>0.38461538461538464</v>
      </c>
      <c r="D103" s="5">
        <f t="shared" si="27"/>
        <v>0.6153846153846154</v>
      </c>
      <c r="E103" s="6">
        <f t="shared" si="1"/>
        <v>-0.23076923076923078</v>
      </c>
      <c r="F103" s="5">
        <v>0.6846</v>
      </c>
      <c r="G103" s="5">
        <v>0.665</v>
      </c>
      <c r="H103" s="5">
        <v>0.6969</v>
      </c>
      <c r="I103" s="6">
        <f t="shared" si="2"/>
        <v>-0.03189999999999993</v>
      </c>
      <c r="J103" s="6">
        <f t="shared" si="29"/>
        <v>0</v>
      </c>
      <c r="M103" s="3">
        <f t="shared" si="4"/>
        <v>0</v>
      </c>
      <c r="N103" s="30">
        <f t="shared" si="30"/>
        <v>0</v>
      </c>
      <c r="O103" s="3">
        <f t="shared" si="31"/>
        <v>1</v>
      </c>
      <c r="P103" s="10">
        <f t="shared" si="7"/>
        <v>0</v>
      </c>
      <c r="Q103" s="6">
        <f t="shared" si="14"/>
        <v>0.4845360824742268</v>
      </c>
      <c r="R103" s="11">
        <v>1986.73</v>
      </c>
      <c r="S103" s="11">
        <v>1921.22</v>
      </c>
      <c r="T103" s="12">
        <f t="shared" si="8"/>
        <v>-65.50999999999999</v>
      </c>
      <c r="U103" s="13">
        <f t="shared" si="9"/>
        <v>-0.032973781037181696</v>
      </c>
      <c r="V103" s="6">
        <f t="shared" si="16"/>
        <v>0.36363636363636365</v>
      </c>
      <c r="W103" s="6">
        <f t="shared" si="28"/>
        <v>0.52</v>
      </c>
      <c r="X103" s="3">
        <f t="shared" si="10"/>
        <v>0</v>
      </c>
      <c r="Y103" s="3">
        <f t="shared" si="11"/>
        <v>1</v>
      </c>
      <c r="Z103" s="10">
        <f t="shared" si="12"/>
        <v>0</v>
      </c>
      <c r="AA103" s="13">
        <f t="shared" si="13"/>
        <v>0</v>
      </c>
    </row>
    <row r="104" spans="1:27" ht="14.25">
      <c r="A104" s="3">
        <f t="shared" si="19"/>
        <v>102</v>
      </c>
      <c r="B104" s="29">
        <f t="shared" si="20"/>
        <v>42254</v>
      </c>
      <c r="C104" s="5">
        <f>26/55</f>
        <v>0.4727272727272727</v>
      </c>
      <c r="D104" s="5">
        <f t="shared" si="27"/>
        <v>0.5272727272727273</v>
      </c>
      <c r="E104" s="6">
        <f t="shared" si="1"/>
        <v>-0.05454545454545462</v>
      </c>
      <c r="F104" s="5">
        <v>0.7009000000000001</v>
      </c>
      <c r="G104" s="5">
        <v>0.6923</v>
      </c>
      <c r="H104" s="5">
        <v>0.7086</v>
      </c>
      <c r="I104" s="6">
        <f t="shared" si="2"/>
        <v>-0.01629999999999998</v>
      </c>
      <c r="J104" s="6">
        <f t="shared" si="29"/>
        <v>0</v>
      </c>
      <c r="M104" s="3">
        <f t="shared" si="4"/>
        <v>0</v>
      </c>
      <c r="N104" s="30">
        <f t="shared" si="30"/>
        <v>0</v>
      </c>
      <c r="O104" s="3">
        <f t="shared" si="31"/>
        <v>0</v>
      </c>
      <c r="P104" s="10">
        <f t="shared" si="7"/>
        <v>1</v>
      </c>
      <c r="Q104" s="6">
        <f t="shared" si="14"/>
        <v>0.47959183673469385</v>
      </c>
      <c r="R104" s="11">
        <v>1927.3</v>
      </c>
      <c r="S104" s="11">
        <v>1961.05</v>
      </c>
      <c r="T104" s="12">
        <f t="shared" si="8"/>
        <v>33.75</v>
      </c>
      <c r="U104" s="13">
        <f t="shared" si="9"/>
        <v>0.017511544647953094</v>
      </c>
      <c r="V104" s="6">
        <f t="shared" si="16"/>
        <v>0.2727272727272727</v>
      </c>
      <c r="W104" s="6">
        <f t="shared" si="28"/>
        <v>0.52</v>
      </c>
      <c r="X104" s="3">
        <f t="shared" si="10"/>
        <v>0</v>
      </c>
      <c r="Y104" s="3">
        <f t="shared" si="11"/>
        <v>1</v>
      </c>
      <c r="Z104" s="10">
        <f t="shared" si="12"/>
        <v>0</v>
      </c>
      <c r="AA104" s="13">
        <f t="shared" si="13"/>
        <v>0</v>
      </c>
    </row>
    <row r="105" spans="1:27" ht="14.25">
      <c r="A105" s="3">
        <f t="shared" si="19"/>
        <v>103</v>
      </c>
      <c r="B105" s="29">
        <f t="shared" si="20"/>
        <v>42261</v>
      </c>
      <c r="C105" s="5">
        <f>27/61</f>
        <v>0.4426229508196721</v>
      </c>
      <c r="D105" s="5">
        <f t="shared" si="27"/>
        <v>0.5573770491803278</v>
      </c>
      <c r="E105" s="6">
        <f t="shared" si="1"/>
        <v>-0.1147540983606557</v>
      </c>
      <c r="F105" s="5">
        <v>0.6656</v>
      </c>
      <c r="G105" s="5">
        <v>0.65</v>
      </c>
      <c r="H105" s="5">
        <v>0.6779000000000001</v>
      </c>
      <c r="I105" s="6">
        <f t="shared" si="2"/>
        <v>-0.027900000000000036</v>
      </c>
      <c r="J105" s="6">
        <f t="shared" si="29"/>
        <v>0</v>
      </c>
      <c r="M105" s="3">
        <f t="shared" si="4"/>
        <v>0</v>
      </c>
      <c r="N105" s="30">
        <f t="shared" si="30"/>
        <v>0</v>
      </c>
      <c r="O105" s="3">
        <f t="shared" si="31"/>
        <v>1</v>
      </c>
      <c r="P105" s="10">
        <f t="shared" si="7"/>
        <v>0</v>
      </c>
      <c r="Q105" s="6">
        <f t="shared" si="14"/>
        <v>0.48484848484848486</v>
      </c>
      <c r="R105" s="11">
        <v>1963.06</v>
      </c>
      <c r="S105" s="11">
        <v>1958.08</v>
      </c>
      <c r="T105" s="12">
        <f t="shared" si="8"/>
        <v>-4.980000000000018</v>
      </c>
      <c r="U105" s="13">
        <f t="shared" si="9"/>
        <v>-0.00253685572524529</v>
      </c>
      <c r="V105" s="6">
        <f t="shared" si="16"/>
        <v>0.36363636363636365</v>
      </c>
      <c r="W105" s="6">
        <f t="shared" si="28"/>
        <v>0.54</v>
      </c>
      <c r="X105" s="3">
        <f t="shared" si="10"/>
        <v>0</v>
      </c>
      <c r="Y105" s="3">
        <f t="shared" si="11"/>
        <v>1</v>
      </c>
      <c r="Z105" s="10">
        <f t="shared" si="12"/>
        <v>0</v>
      </c>
      <c r="AA105" s="13">
        <f t="shared" si="13"/>
        <v>0</v>
      </c>
    </row>
    <row r="106" spans="1:27" ht="14.25">
      <c r="A106" s="3">
        <f t="shared" si="19"/>
        <v>104</v>
      </c>
      <c r="B106" s="29">
        <f t="shared" si="20"/>
        <v>42268</v>
      </c>
      <c r="C106" s="5">
        <f>14/48</f>
        <v>0.2916666666666667</v>
      </c>
      <c r="D106" s="5">
        <f t="shared" si="27"/>
        <v>0.7083333333333333</v>
      </c>
      <c r="E106" s="6">
        <f t="shared" si="1"/>
        <v>-0.4166666666666666</v>
      </c>
      <c r="F106" s="5">
        <v>0.6812999999999999</v>
      </c>
      <c r="G106" s="5">
        <v>0.6464</v>
      </c>
      <c r="H106" s="5">
        <v>0.6956</v>
      </c>
      <c r="I106" s="6">
        <f t="shared" si="2"/>
        <v>-0.04920000000000002</v>
      </c>
      <c r="J106" s="6">
        <f t="shared" si="29"/>
        <v>0</v>
      </c>
      <c r="M106" s="3">
        <f t="shared" si="4"/>
        <v>0</v>
      </c>
      <c r="N106" s="30">
        <f t="shared" si="30"/>
        <v>0</v>
      </c>
      <c r="O106" s="3">
        <f t="shared" si="31"/>
        <v>1</v>
      </c>
      <c r="P106" s="10">
        <f t="shared" si="7"/>
        <v>0</v>
      </c>
      <c r="Q106" s="6">
        <f t="shared" si="14"/>
        <v>0.49</v>
      </c>
      <c r="R106" s="11">
        <v>1960.84</v>
      </c>
      <c r="S106" s="11">
        <v>1931.34</v>
      </c>
      <c r="T106" s="12">
        <f t="shared" si="8"/>
        <v>-29.5</v>
      </c>
      <c r="U106" s="13">
        <f t="shared" si="9"/>
        <v>-0.015044572734134351</v>
      </c>
      <c r="V106" s="6">
        <f t="shared" si="16"/>
        <v>0.45454545454545453</v>
      </c>
      <c r="W106" s="6">
        <f t="shared" si="28"/>
        <v>0.54</v>
      </c>
      <c r="X106" s="3">
        <f t="shared" si="10"/>
        <v>0</v>
      </c>
      <c r="Y106" s="3">
        <f t="shared" si="11"/>
        <v>1</v>
      </c>
      <c r="Z106" s="10">
        <f t="shared" si="12"/>
        <v>0</v>
      </c>
      <c r="AA106" s="13">
        <f t="shared" si="13"/>
        <v>0</v>
      </c>
    </row>
    <row r="107" spans="1:27" ht="14.25">
      <c r="A107" s="3">
        <f t="shared" si="19"/>
        <v>105</v>
      </c>
      <c r="B107" s="29">
        <f t="shared" si="20"/>
        <v>42275</v>
      </c>
      <c r="C107" s="5">
        <f>35/69</f>
        <v>0.5072463768115942</v>
      </c>
      <c r="D107" s="5">
        <f t="shared" si="27"/>
        <v>0.49275362318840576</v>
      </c>
      <c r="E107" s="6">
        <f t="shared" si="1"/>
        <v>0.01449275362318847</v>
      </c>
      <c r="F107" s="5">
        <v>0.6739</v>
      </c>
      <c r="G107" s="5">
        <v>0.6456999999999999</v>
      </c>
      <c r="H107" s="5">
        <v>0.7029000000000001</v>
      </c>
      <c r="I107" s="6">
        <f t="shared" si="2"/>
        <v>-0.05720000000000014</v>
      </c>
      <c r="J107" s="6">
        <f t="shared" si="29"/>
        <v>0</v>
      </c>
      <c r="M107" s="3">
        <f t="shared" si="4"/>
        <v>0</v>
      </c>
      <c r="N107" s="30">
        <f t="shared" si="30"/>
        <v>0</v>
      </c>
      <c r="O107" s="3">
        <f t="shared" si="31"/>
        <v>1</v>
      </c>
      <c r="P107" s="10">
        <f t="shared" si="7"/>
        <v>1</v>
      </c>
      <c r="Q107" s="6">
        <f t="shared" si="14"/>
        <v>0.49504950495049505</v>
      </c>
      <c r="R107" s="11">
        <v>1929.18</v>
      </c>
      <c r="S107" s="11">
        <v>1951.36</v>
      </c>
      <c r="T107" s="12">
        <f t="shared" si="8"/>
        <v>22.179999999999836</v>
      </c>
      <c r="U107" s="13">
        <f t="shared" si="9"/>
        <v>0.011497112762935463</v>
      </c>
      <c r="V107" s="6">
        <f t="shared" si="16"/>
        <v>0.45454545454545453</v>
      </c>
      <c r="W107" s="6">
        <f t="shared" si="28"/>
        <v>0.56</v>
      </c>
      <c r="X107" s="3">
        <f t="shared" si="10"/>
        <v>1</v>
      </c>
      <c r="Y107" s="3">
        <f t="shared" si="11"/>
        <v>1</v>
      </c>
      <c r="Z107" s="10">
        <f t="shared" si="12"/>
        <v>1</v>
      </c>
      <c r="AA107" s="13">
        <f t="shared" si="13"/>
        <v>0.011497112762935463</v>
      </c>
    </row>
    <row r="108" spans="1:27" ht="14.25">
      <c r="A108" s="3">
        <f t="shared" si="19"/>
        <v>106</v>
      </c>
      <c r="B108" s="29">
        <f t="shared" si="20"/>
        <v>42282</v>
      </c>
      <c r="C108" s="5">
        <f>27/50</f>
        <v>0.54</v>
      </c>
      <c r="D108" s="5">
        <f t="shared" si="27"/>
        <v>0.45999999999999996</v>
      </c>
      <c r="E108" s="6">
        <f t="shared" si="1"/>
        <v>0.08000000000000007</v>
      </c>
      <c r="F108" s="5">
        <v>0.7</v>
      </c>
      <c r="G108" s="5">
        <v>0.7037</v>
      </c>
      <c r="H108" s="5">
        <v>0.6957</v>
      </c>
      <c r="I108" s="6">
        <f t="shared" si="2"/>
        <v>0.008000000000000007</v>
      </c>
      <c r="J108" s="6">
        <f t="shared" si="29"/>
        <v>0</v>
      </c>
      <c r="M108" s="3">
        <f t="shared" si="4"/>
        <v>0</v>
      </c>
      <c r="N108" s="30">
        <f t="shared" si="30"/>
        <v>0</v>
      </c>
      <c r="O108" s="3">
        <f t="shared" si="31"/>
        <v>1</v>
      </c>
      <c r="P108" s="10">
        <f t="shared" si="7"/>
        <v>1</v>
      </c>
      <c r="Q108" s="6">
        <f t="shared" si="14"/>
        <v>0.5</v>
      </c>
      <c r="R108" s="11">
        <v>1954.33</v>
      </c>
      <c r="S108" s="11">
        <v>2014.89</v>
      </c>
      <c r="T108" s="12">
        <f t="shared" si="8"/>
        <v>60.56000000000017</v>
      </c>
      <c r="U108" s="13">
        <f t="shared" si="9"/>
        <v>0.03098760188913857</v>
      </c>
      <c r="V108" s="6">
        <f t="shared" si="16"/>
        <v>0.5454545454545454</v>
      </c>
      <c r="W108" s="6">
        <f t="shared" si="28"/>
        <v>0.58</v>
      </c>
      <c r="X108" s="3">
        <f t="shared" si="10"/>
        <v>1</v>
      </c>
      <c r="Y108" s="3">
        <f t="shared" si="11"/>
        <v>0</v>
      </c>
      <c r="Z108" s="10">
        <f t="shared" si="12"/>
        <v>0</v>
      </c>
      <c r="AA108" s="13">
        <f t="shared" si="13"/>
        <v>0</v>
      </c>
    </row>
    <row r="109" spans="1:27" ht="14.25">
      <c r="A109" s="3">
        <f t="shared" si="19"/>
        <v>107</v>
      </c>
      <c r="B109" s="29">
        <f t="shared" si="20"/>
        <v>42289</v>
      </c>
      <c r="C109" s="5">
        <f>37/77</f>
        <v>0.4805194805194805</v>
      </c>
      <c r="D109" s="5">
        <f t="shared" si="27"/>
        <v>0.5194805194805194</v>
      </c>
      <c r="E109" s="6">
        <f t="shared" si="1"/>
        <v>-0.03896103896103892</v>
      </c>
      <c r="F109" s="5">
        <v>0.6695</v>
      </c>
      <c r="G109" s="5">
        <v>0.6729999999999999</v>
      </c>
      <c r="H109" s="5">
        <v>0.6663</v>
      </c>
      <c r="I109" s="6">
        <f t="shared" si="2"/>
        <v>0.006699999999999928</v>
      </c>
      <c r="J109" s="6">
        <f t="shared" si="29"/>
        <v>0</v>
      </c>
      <c r="K109" s="8">
        <v>0.58</v>
      </c>
      <c r="L109" s="9" t="s">
        <v>5</v>
      </c>
      <c r="M109" s="3">
        <f t="shared" si="4"/>
        <v>0</v>
      </c>
      <c r="N109" s="30">
        <f t="shared" si="30"/>
        <v>0</v>
      </c>
      <c r="O109" s="3">
        <f t="shared" si="31"/>
        <v>0</v>
      </c>
      <c r="P109" s="10">
        <f t="shared" si="7"/>
        <v>1</v>
      </c>
      <c r="Q109" s="6">
        <f t="shared" si="14"/>
        <v>0.49514563106796117</v>
      </c>
      <c r="R109" s="11">
        <v>2015.65</v>
      </c>
      <c r="S109" s="11">
        <v>2033.11</v>
      </c>
      <c r="T109" s="12">
        <f t="shared" si="8"/>
        <v>17.45999999999981</v>
      </c>
      <c r="U109" s="13">
        <f t="shared" si="9"/>
        <v>0.008662218143030689</v>
      </c>
      <c r="V109" s="6">
        <f t="shared" si="16"/>
        <v>0.5454545454545454</v>
      </c>
      <c r="W109" s="6">
        <f t="shared" si="28"/>
        <v>0.56</v>
      </c>
      <c r="X109" s="3">
        <f t="shared" si="10"/>
        <v>0</v>
      </c>
      <c r="Y109" s="3">
        <f t="shared" si="11"/>
        <v>0</v>
      </c>
      <c r="Z109" s="10">
        <f t="shared" si="12"/>
        <v>0</v>
      </c>
      <c r="AA109" s="13">
        <f t="shared" si="13"/>
        <v>0</v>
      </c>
    </row>
    <row r="110" spans="1:27" ht="14.25">
      <c r="A110" s="3">
        <f t="shared" si="19"/>
        <v>108</v>
      </c>
      <c r="B110" s="29">
        <f t="shared" si="20"/>
        <v>42296</v>
      </c>
      <c r="C110" s="5">
        <f>29/51</f>
        <v>0.5686274509803921</v>
      </c>
      <c r="D110" s="5">
        <f t="shared" si="27"/>
        <v>0.43137254901960786</v>
      </c>
      <c r="E110" s="6">
        <f t="shared" si="1"/>
        <v>0.13725490196078427</v>
      </c>
      <c r="F110" s="5">
        <v>0.6881999999999999</v>
      </c>
      <c r="G110" s="5">
        <v>0.6568999999999999</v>
      </c>
      <c r="H110" s="5">
        <v>0.7295</v>
      </c>
      <c r="I110" s="6">
        <f t="shared" si="2"/>
        <v>-0.07260000000000011</v>
      </c>
      <c r="J110" s="6">
        <f t="shared" si="29"/>
        <v>0</v>
      </c>
      <c r="K110" s="8">
        <v>0.63</v>
      </c>
      <c r="L110" s="9" t="s">
        <v>28</v>
      </c>
      <c r="M110" s="3">
        <f t="shared" si="4"/>
        <v>0</v>
      </c>
      <c r="N110" s="30">
        <f t="shared" si="30"/>
        <v>0</v>
      </c>
      <c r="O110" s="3">
        <f t="shared" si="31"/>
        <v>1</v>
      </c>
      <c r="P110" s="10">
        <f t="shared" si="7"/>
        <v>1</v>
      </c>
      <c r="Q110" s="6">
        <f t="shared" si="14"/>
        <v>0.5</v>
      </c>
      <c r="R110" s="11">
        <v>2031.73</v>
      </c>
      <c r="S110" s="11">
        <v>2075.15</v>
      </c>
      <c r="T110" s="12">
        <f t="shared" si="8"/>
        <v>43.42000000000007</v>
      </c>
      <c r="U110" s="13">
        <f t="shared" si="9"/>
        <v>0.021370949880151435</v>
      </c>
      <c r="V110" s="6">
        <f t="shared" si="16"/>
        <v>0.6363636363636364</v>
      </c>
      <c r="W110" s="6">
        <f t="shared" si="28"/>
        <v>0.56</v>
      </c>
      <c r="X110" s="3">
        <f t="shared" si="10"/>
        <v>1</v>
      </c>
      <c r="Y110" s="3">
        <f t="shared" si="11"/>
        <v>1</v>
      </c>
      <c r="Z110" s="10">
        <f t="shared" si="12"/>
        <v>1</v>
      </c>
      <c r="AA110" s="13">
        <f t="shared" si="13"/>
        <v>0.021370949880151435</v>
      </c>
    </row>
    <row r="111" spans="1:27" ht="14.25">
      <c r="A111" s="3">
        <f t="shared" si="19"/>
        <v>109</v>
      </c>
      <c r="B111" s="29">
        <f t="shared" si="20"/>
        <v>42303</v>
      </c>
      <c r="C111" s="5">
        <f>28/52</f>
        <v>0.5384615384615384</v>
      </c>
      <c r="D111" s="5">
        <f t="shared" si="27"/>
        <v>0.46153846153846156</v>
      </c>
      <c r="E111" s="6">
        <f t="shared" si="1"/>
        <v>0.07692307692307687</v>
      </c>
      <c r="F111" s="5">
        <v>0.6808</v>
      </c>
      <c r="G111" s="5">
        <v>0.6607</v>
      </c>
      <c r="H111" s="5">
        <v>0.7042</v>
      </c>
      <c r="I111" s="6">
        <f t="shared" si="2"/>
        <v>-0.043500000000000094</v>
      </c>
      <c r="J111" s="6">
        <f t="shared" si="29"/>
        <v>0</v>
      </c>
      <c r="K111" s="8">
        <v>0.56</v>
      </c>
      <c r="L111" s="9" t="s">
        <v>28</v>
      </c>
      <c r="M111" s="3">
        <f t="shared" si="4"/>
        <v>0</v>
      </c>
      <c r="N111" s="30">
        <f t="shared" si="30"/>
        <v>0</v>
      </c>
      <c r="O111" s="3">
        <f t="shared" si="31"/>
        <v>1</v>
      </c>
      <c r="P111" s="10">
        <f t="shared" si="7"/>
        <v>1</v>
      </c>
      <c r="Q111" s="6">
        <f t="shared" si="14"/>
        <v>0.5047619047619047</v>
      </c>
      <c r="R111" s="11">
        <v>2075.08</v>
      </c>
      <c r="S111" s="11">
        <v>2079.36</v>
      </c>
      <c r="T111" s="12">
        <f t="shared" si="8"/>
        <v>4.2800000000002</v>
      </c>
      <c r="U111" s="13">
        <f t="shared" si="9"/>
        <v>0.0020625710815969506</v>
      </c>
      <c r="V111" s="6">
        <f t="shared" si="16"/>
        <v>0.6363636363636364</v>
      </c>
      <c r="W111" s="6">
        <f t="shared" si="28"/>
        <v>0.56</v>
      </c>
      <c r="X111" s="3">
        <f t="shared" si="10"/>
        <v>1</v>
      </c>
      <c r="Y111" s="3">
        <f t="shared" si="11"/>
        <v>1</v>
      </c>
      <c r="Z111" s="10">
        <f t="shared" si="12"/>
        <v>1</v>
      </c>
      <c r="AA111" s="13">
        <f t="shared" si="13"/>
        <v>0.0020625710815969506</v>
      </c>
    </row>
    <row r="112" spans="1:27" ht="14.25">
      <c r="A112" s="3">
        <f t="shared" si="19"/>
        <v>110</v>
      </c>
      <c r="B112" s="29">
        <f t="shared" si="20"/>
        <v>42310</v>
      </c>
      <c r="C112" s="5">
        <f>19/50</f>
        <v>0.38</v>
      </c>
      <c r="D112" s="5">
        <f t="shared" si="27"/>
        <v>0.62</v>
      </c>
      <c r="E112" s="6">
        <f t="shared" si="1"/>
        <v>-0.24</v>
      </c>
      <c r="F112" s="5">
        <v>0.695</v>
      </c>
      <c r="G112" s="5">
        <v>0.7132</v>
      </c>
      <c r="H112" s="5">
        <v>0.6839</v>
      </c>
      <c r="I112" s="6">
        <f t="shared" si="2"/>
        <v>0.029299999999999993</v>
      </c>
      <c r="J112" s="6">
        <f t="shared" si="29"/>
        <v>0</v>
      </c>
      <c r="K112" s="8">
        <v>0.71</v>
      </c>
      <c r="L112" s="9" t="s">
        <v>5</v>
      </c>
      <c r="M112" s="3">
        <f t="shared" si="4"/>
        <v>0</v>
      </c>
      <c r="N112" s="30">
        <f t="shared" si="30"/>
        <v>0</v>
      </c>
      <c r="O112" s="3">
        <f t="shared" si="31"/>
        <v>0</v>
      </c>
      <c r="P112" s="10">
        <f t="shared" si="7"/>
        <v>1</v>
      </c>
      <c r="Q112" s="6">
        <f t="shared" si="14"/>
        <v>0.5</v>
      </c>
      <c r="R112" s="11">
        <v>2080.76</v>
      </c>
      <c r="S112" s="11">
        <v>2099.2</v>
      </c>
      <c r="T112" s="12">
        <f t="shared" si="8"/>
        <v>18.4399999999996</v>
      </c>
      <c r="U112" s="13">
        <f t="shared" si="9"/>
        <v>0.008862146523385492</v>
      </c>
      <c r="V112" s="6">
        <f t="shared" si="16"/>
        <v>0.6363636363636364</v>
      </c>
      <c r="W112" s="6">
        <f t="shared" si="28"/>
        <v>0.54</v>
      </c>
      <c r="X112" s="3">
        <f t="shared" si="10"/>
        <v>0</v>
      </c>
      <c r="Y112" s="3">
        <f t="shared" si="11"/>
        <v>0</v>
      </c>
      <c r="Z112" s="10">
        <f t="shared" si="12"/>
        <v>0</v>
      </c>
      <c r="AA112" s="13">
        <f t="shared" si="13"/>
        <v>0</v>
      </c>
    </row>
    <row r="113" spans="1:27" ht="14.25">
      <c r="A113" s="3">
        <f t="shared" si="19"/>
        <v>111</v>
      </c>
      <c r="B113" s="29">
        <f t="shared" si="20"/>
        <v>42317</v>
      </c>
      <c r="C113" s="5">
        <f>30/58</f>
        <v>0.5172413793103449</v>
      </c>
      <c r="D113" s="5">
        <f t="shared" si="27"/>
        <v>0.48275862068965514</v>
      </c>
      <c r="E113" s="6">
        <f t="shared" si="1"/>
        <v>0.034482758620689724</v>
      </c>
      <c r="F113" s="5">
        <v>0.6888</v>
      </c>
      <c r="G113" s="5">
        <v>0.6783</v>
      </c>
      <c r="H113" s="5">
        <v>0.7</v>
      </c>
      <c r="I113" s="6">
        <f t="shared" si="2"/>
        <v>-0.02169999999999994</v>
      </c>
      <c r="J113" s="6">
        <f t="shared" si="29"/>
        <v>0</v>
      </c>
      <c r="K113" s="8">
        <v>0.52</v>
      </c>
      <c r="L113" s="9" t="s">
        <v>5</v>
      </c>
      <c r="M113" s="3">
        <f t="shared" si="4"/>
        <v>0</v>
      </c>
      <c r="N113" s="30">
        <f t="shared" si="30"/>
        <v>0</v>
      </c>
      <c r="O113" s="3">
        <f t="shared" si="31"/>
        <v>0</v>
      </c>
      <c r="P113" s="10">
        <f t="shared" si="7"/>
        <v>0</v>
      </c>
      <c r="Q113" s="6">
        <f t="shared" si="14"/>
        <v>0.4953271028037383</v>
      </c>
      <c r="R113" s="11">
        <v>2096.56</v>
      </c>
      <c r="S113" s="11">
        <v>2023.04</v>
      </c>
      <c r="T113" s="12">
        <f t="shared" si="8"/>
        <v>-73.51999999999998</v>
      </c>
      <c r="U113" s="13">
        <f t="shared" si="9"/>
        <v>-0.03506696684092036</v>
      </c>
      <c r="V113" s="6">
        <f t="shared" si="16"/>
        <v>0.6363636363636364</v>
      </c>
      <c r="W113" s="6">
        <f t="shared" si="28"/>
        <v>0.54</v>
      </c>
      <c r="X113" s="3">
        <f t="shared" si="10"/>
        <v>1</v>
      </c>
      <c r="Y113" s="3">
        <f t="shared" si="11"/>
        <v>1</v>
      </c>
      <c r="Z113" s="10">
        <f t="shared" si="12"/>
        <v>0</v>
      </c>
      <c r="AA113" s="13">
        <f t="shared" si="13"/>
        <v>-0.03506696684092036</v>
      </c>
    </row>
    <row r="114" spans="1:27" ht="14.25">
      <c r="A114" s="3">
        <f t="shared" si="19"/>
        <v>112</v>
      </c>
      <c r="B114" s="29">
        <f t="shared" si="20"/>
        <v>42324</v>
      </c>
      <c r="C114" s="5">
        <f>26/60</f>
        <v>0.43333333333333335</v>
      </c>
      <c r="D114" s="5">
        <f t="shared" si="27"/>
        <v>0.5666666666666667</v>
      </c>
      <c r="E114" s="6">
        <f t="shared" si="1"/>
        <v>-0.1333333333333333</v>
      </c>
      <c r="F114" s="5">
        <v>0.7058</v>
      </c>
      <c r="G114" s="5">
        <v>0.6808</v>
      </c>
      <c r="H114" s="5">
        <v>0.725</v>
      </c>
      <c r="I114" s="6">
        <f t="shared" si="2"/>
        <v>-0.04420000000000002</v>
      </c>
      <c r="J114" s="6">
        <f t="shared" si="29"/>
        <v>0</v>
      </c>
      <c r="K114" s="8">
        <v>0.61</v>
      </c>
      <c r="L114" s="9" t="s">
        <v>5</v>
      </c>
      <c r="M114" s="3">
        <f t="shared" si="4"/>
        <v>0</v>
      </c>
      <c r="N114" s="30">
        <f t="shared" si="30"/>
        <v>0</v>
      </c>
      <c r="O114" s="3">
        <f t="shared" si="31"/>
        <v>0</v>
      </c>
      <c r="P114" s="10">
        <f t="shared" si="7"/>
        <v>1</v>
      </c>
      <c r="Q114" s="6">
        <f t="shared" si="14"/>
        <v>0.49074074074074076</v>
      </c>
      <c r="R114" s="11">
        <v>2022.08</v>
      </c>
      <c r="S114" s="11">
        <v>2089.17</v>
      </c>
      <c r="T114" s="12">
        <f t="shared" si="8"/>
        <v>67.09000000000015</v>
      </c>
      <c r="U114" s="13">
        <f t="shared" si="9"/>
        <v>0.03317870707390417</v>
      </c>
      <c r="V114" s="6">
        <f t="shared" si="16"/>
        <v>0.5454545454545454</v>
      </c>
      <c r="W114" s="6">
        <f t="shared" si="28"/>
        <v>0.52</v>
      </c>
      <c r="X114" s="3">
        <f t="shared" si="10"/>
        <v>0</v>
      </c>
      <c r="Y114" s="3">
        <f t="shared" si="11"/>
        <v>1</v>
      </c>
      <c r="Z114" s="10">
        <f t="shared" si="12"/>
        <v>0</v>
      </c>
      <c r="AA114" s="13">
        <f t="shared" si="13"/>
        <v>0</v>
      </c>
    </row>
    <row r="115" spans="1:27" ht="14.25">
      <c r="A115" s="3">
        <f t="shared" si="19"/>
        <v>113</v>
      </c>
      <c r="B115" s="29">
        <f t="shared" si="20"/>
        <v>42331</v>
      </c>
      <c r="C115" s="5">
        <f>30/45</f>
        <v>0.6666666666666666</v>
      </c>
      <c r="D115" s="5">
        <f t="shared" si="27"/>
        <v>0.33333333333333337</v>
      </c>
      <c r="E115" s="6">
        <f t="shared" si="1"/>
        <v>0.33333333333333326</v>
      </c>
      <c r="F115" s="5">
        <v>0.6644</v>
      </c>
      <c r="G115" s="5">
        <v>0.6483</v>
      </c>
      <c r="H115" s="5">
        <v>0.6833</v>
      </c>
      <c r="I115" s="6">
        <f t="shared" si="2"/>
        <v>-0.03500000000000003</v>
      </c>
      <c r="J115" s="6">
        <f t="shared" si="29"/>
        <v>0</v>
      </c>
      <c r="K115" s="8">
        <v>0.57</v>
      </c>
      <c r="L115" s="9" t="s">
        <v>28</v>
      </c>
      <c r="M115" s="3">
        <f t="shared" si="4"/>
        <v>0</v>
      </c>
      <c r="N115" s="30">
        <f t="shared" si="30"/>
        <v>0</v>
      </c>
      <c r="O115" s="3">
        <f t="shared" si="31"/>
        <v>1</v>
      </c>
      <c r="P115" s="10">
        <f t="shared" si="7"/>
        <v>1</v>
      </c>
      <c r="Q115" s="6">
        <f t="shared" si="14"/>
        <v>0.4954128440366973</v>
      </c>
      <c r="R115" s="11">
        <v>2089.41</v>
      </c>
      <c r="S115" s="11">
        <v>2090.11</v>
      </c>
      <c r="T115" s="12">
        <f t="shared" si="8"/>
        <v>0.7000000000002728</v>
      </c>
      <c r="U115" s="13">
        <f t="shared" si="9"/>
        <v>0.0003350228054811037</v>
      </c>
      <c r="V115" s="6">
        <f t="shared" si="16"/>
        <v>0.6363636363636364</v>
      </c>
      <c r="W115" s="6">
        <f t="shared" si="28"/>
        <v>0.52</v>
      </c>
      <c r="X115" s="3">
        <f t="shared" si="10"/>
        <v>1</v>
      </c>
      <c r="Y115" s="3">
        <f t="shared" si="11"/>
        <v>1</v>
      </c>
      <c r="Z115" s="10">
        <f t="shared" si="12"/>
        <v>1</v>
      </c>
      <c r="AA115" s="13">
        <f t="shared" si="13"/>
        <v>0.0003350228054811037</v>
      </c>
    </row>
    <row r="116" spans="1:27" ht="14.25">
      <c r="A116" s="3">
        <f t="shared" si="19"/>
        <v>114</v>
      </c>
      <c r="B116" s="29">
        <f t="shared" si="20"/>
        <v>42338</v>
      </c>
      <c r="C116" s="5">
        <f>34/54</f>
        <v>0.6296296296296297</v>
      </c>
      <c r="D116" s="5">
        <f t="shared" si="27"/>
        <v>0.37037037037037035</v>
      </c>
      <c r="E116" s="6">
        <f t="shared" si="1"/>
        <v>0.2592592592592593</v>
      </c>
      <c r="F116" s="5">
        <v>0.6685</v>
      </c>
      <c r="G116" s="5">
        <v>0.6853</v>
      </c>
      <c r="H116" s="5">
        <v>0.64</v>
      </c>
      <c r="I116" s="6">
        <f t="shared" si="2"/>
        <v>0.04530000000000001</v>
      </c>
      <c r="J116" s="6">
        <f t="shared" si="29"/>
        <v>0</v>
      </c>
      <c r="K116" s="8">
        <v>0.62</v>
      </c>
      <c r="L116" s="9" t="s">
        <v>5</v>
      </c>
      <c r="M116" s="3">
        <f t="shared" si="4"/>
        <v>0</v>
      </c>
      <c r="N116" s="30">
        <f t="shared" si="30"/>
        <v>0</v>
      </c>
      <c r="O116" s="3">
        <f t="shared" si="31"/>
        <v>1</v>
      </c>
      <c r="P116" s="10">
        <f t="shared" si="7"/>
        <v>1</v>
      </c>
      <c r="Q116" s="6">
        <f t="shared" si="14"/>
        <v>0.5</v>
      </c>
      <c r="R116" s="11">
        <v>2090.95</v>
      </c>
      <c r="S116" s="11">
        <v>2091.69</v>
      </c>
      <c r="T116" s="12">
        <f t="shared" si="8"/>
        <v>0.7400000000002365</v>
      </c>
      <c r="U116" s="13">
        <f t="shared" si="9"/>
        <v>0.00035390611922821516</v>
      </c>
      <c r="V116" s="6">
        <f t="shared" si="16"/>
        <v>0.6363636363636364</v>
      </c>
      <c r="W116" s="6">
        <f t="shared" si="28"/>
        <v>0.54</v>
      </c>
      <c r="X116" s="3">
        <f t="shared" si="10"/>
        <v>1</v>
      </c>
      <c r="Y116" s="3">
        <f t="shared" si="11"/>
        <v>0</v>
      </c>
      <c r="Z116" s="10">
        <f t="shared" si="12"/>
        <v>0</v>
      </c>
      <c r="AA116" s="13">
        <f t="shared" si="13"/>
        <v>0</v>
      </c>
    </row>
    <row r="117" spans="1:27" ht="14.25">
      <c r="A117" s="3">
        <f t="shared" si="19"/>
        <v>115</v>
      </c>
      <c r="B117" s="29">
        <f t="shared" si="20"/>
        <v>42345</v>
      </c>
      <c r="C117" s="5">
        <f>29/47</f>
        <v>0.6170212765957447</v>
      </c>
      <c r="D117" s="5">
        <f t="shared" si="27"/>
        <v>0.3829787234042553</v>
      </c>
      <c r="E117" s="6">
        <f t="shared" si="1"/>
        <v>0.23404255319148937</v>
      </c>
      <c r="F117" s="5">
        <v>0.7</v>
      </c>
      <c r="G117" s="5">
        <v>0.6845</v>
      </c>
      <c r="H117" s="5">
        <v>0.725</v>
      </c>
      <c r="I117" s="6">
        <f t="shared" si="2"/>
        <v>-0.04049999999999998</v>
      </c>
      <c r="J117" s="6">
        <f t="shared" si="29"/>
        <v>0</v>
      </c>
      <c r="K117" s="8">
        <v>0.55</v>
      </c>
      <c r="L117" s="9" t="s">
        <v>28</v>
      </c>
      <c r="M117" s="3">
        <f t="shared" si="4"/>
        <v>0</v>
      </c>
      <c r="N117" s="30">
        <f t="shared" si="30"/>
        <v>0</v>
      </c>
      <c r="O117" s="3">
        <f t="shared" si="31"/>
        <v>0</v>
      </c>
      <c r="P117" s="10">
        <f t="shared" si="7"/>
        <v>0</v>
      </c>
      <c r="Q117" s="6">
        <f t="shared" si="14"/>
        <v>0.4954954954954955</v>
      </c>
      <c r="R117" s="11">
        <v>2090.42</v>
      </c>
      <c r="S117" s="11">
        <v>2012.37</v>
      </c>
      <c r="T117" s="12">
        <f t="shared" si="8"/>
        <v>-78.05000000000018</v>
      </c>
      <c r="U117" s="13">
        <f t="shared" si="9"/>
        <v>-0.037336994479578355</v>
      </c>
      <c r="V117" s="6">
        <f t="shared" si="16"/>
        <v>0.5454545454545454</v>
      </c>
      <c r="W117" s="6">
        <f t="shared" si="28"/>
        <v>0.54</v>
      </c>
      <c r="X117" s="3">
        <f t="shared" si="10"/>
        <v>1</v>
      </c>
      <c r="Y117" s="3">
        <f t="shared" si="11"/>
        <v>1</v>
      </c>
      <c r="Z117" s="10">
        <f t="shared" si="12"/>
        <v>0</v>
      </c>
      <c r="AA117" s="13">
        <f t="shared" si="13"/>
        <v>-0.037336994479578355</v>
      </c>
    </row>
    <row r="118" spans="1:27" ht="14.25">
      <c r="A118" s="3">
        <f t="shared" si="19"/>
        <v>116</v>
      </c>
      <c r="B118" s="29">
        <f t="shared" si="20"/>
        <v>42352</v>
      </c>
      <c r="C118" s="5">
        <f>24/44</f>
        <v>0.5454545454545454</v>
      </c>
      <c r="D118" s="5">
        <f t="shared" si="27"/>
        <v>0.4545454545454546</v>
      </c>
      <c r="E118" s="6">
        <f t="shared" si="1"/>
        <v>0.09090909090909083</v>
      </c>
      <c r="F118" s="5">
        <v>0.725</v>
      </c>
      <c r="G118" s="5">
        <v>0.6729</v>
      </c>
      <c r="H118" s="5">
        <v>0.7875</v>
      </c>
      <c r="I118" s="6">
        <f t="shared" si="2"/>
        <v>-0.11459999999999992</v>
      </c>
      <c r="J118" s="6">
        <f t="shared" si="29"/>
        <v>0</v>
      </c>
      <c r="M118" s="3">
        <f t="shared" si="4"/>
        <v>0</v>
      </c>
      <c r="N118" s="30">
        <f t="shared" si="30"/>
        <v>0</v>
      </c>
      <c r="O118" s="3">
        <f t="shared" si="31"/>
        <v>0</v>
      </c>
      <c r="P118" s="10">
        <f t="shared" si="7"/>
        <v>0</v>
      </c>
      <c r="Q118" s="6">
        <f t="shared" si="14"/>
        <v>0.49107142857142855</v>
      </c>
      <c r="R118" s="11">
        <v>2013.37</v>
      </c>
      <c r="S118" s="11">
        <v>2005.55</v>
      </c>
      <c r="T118" s="12">
        <f t="shared" si="8"/>
        <v>-7.819999999999936</v>
      </c>
      <c r="U118" s="13">
        <f t="shared" si="9"/>
        <v>-0.0038840352245240253</v>
      </c>
      <c r="V118" s="6">
        <f t="shared" si="16"/>
        <v>0.45454545454545453</v>
      </c>
      <c r="W118" s="6">
        <f t="shared" si="28"/>
        <v>0.52</v>
      </c>
      <c r="X118" s="3">
        <f t="shared" si="10"/>
        <v>1</v>
      </c>
      <c r="Y118" s="3">
        <f t="shared" si="11"/>
        <v>1</v>
      </c>
      <c r="Z118" s="10">
        <f t="shared" si="12"/>
        <v>0</v>
      </c>
      <c r="AA118" s="13">
        <f t="shared" si="13"/>
        <v>-0.0038840352245240253</v>
      </c>
    </row>
    <row r="119" spans="1:27" ht="14.25">
      <c r="A119" s="3">
        <f t="shared" si="19"/>
        <v>117</v>
      </c>
      <c r="B119" s="29">
        <f t="shared" si="20"/>
        <v>42359</v>
      </c>
      <c r="C119" s="5">
        <f>33/47</f>
        <v>0.7021276595744681</v>
      </c>
      <c r="D119" s="5">
        <f t="shared" si="27"/>
        <v>0.2978723404255319</v>
      </c>
      <c r="E119" s="6">
        <f t="shared" si="1"/>
        <v>0.4042553191489362</v>
      </c>
      <c r="F119" s="5">
        <v>0.7340000000000001</v>
      </c>
      <c r="G119" s="5">
        <v>0.7015</v>
      </c>
      <c r="H119" s="5">
        <v>0.8107</v>
      </c>
      <c r="I119" s="6">
        <f t="shared" si="2"/>
        <v>-0.10919999999999996</v>
      </c>
      <c r="J119" s="6">
        <f t="shared" si="29"/>
        <v>0</v>
      </c>
      <c r="K119" s="8">
        <v>0.57</v>
      </c>
      <c r="L119" s="9" t="s">
        <v>5</v>
      </c>
      <c r="M119" s="3">
        <f t="shared" si="4"/>
        <v>0</v>
      </c>
      <c r="N119" s="30">
        <f t="shared" si="30"/>
        <v>0</v>
      </c>
      <c r="O119" s="3">
        <f t="shared" si="31"/>
        <v>1</v>
      </c>
      <c r="P119" s="10">
        <f t="shared" si="7"/>
        <v>1</v>
      </c>
      <c r="Q119" s="6">
        <f t="shared" si="14"/>
        <v>0.49557522123893805</v>
      </c>
      <c r="R119" s="11">
        <v>2010.27</v>
      </c>
      <c r="S119" s="11">
        <v>2060.99</v>
      </c>
      <c r="T119" s="12">
        <f t="shared" si="8"/>
        <v>50.7199999999998</v>
      </c>
      <c r="U119" s="13">
        <f t="shared" si="9"/>
        <v>0.02523044168196302</v>
      </c>
      <c r="V119" s="6">
        <f t="shared" si="16"/>
        <v>0.45454545454545453</v>
      </c>
      <c r="W119" s="6">
        <f t="shared" si="28"/>
        <v>0.54</v>
      </c>
      <c r="X119" s="3">
        <f t="shared" si="10"/>
        <v>1</v>
      </c>
      <c r="Y119" s="3">
        <f t="shared" si="11"/>
        <v>1</v>
      </c>
      <c r="Z119" s="10">
        <f t="shared" si="12"/>
        <v>1</v>
      </c>
      <c r="AA119" s="13">
        <f t="shared" si="13"/>
        <v>0.02523044168196302</v>
      </c>
    </row>
    <row r="120" spans="1:27" ht="14.25">
      <c r="A120" s="3">
        <f t="shared" si="19"/>
        <v>118</v>
      </c>
      <c r="B120" s="29">
        <f t="shared" si="20"/>
        <v>42366</v>
      </c>
      <c r="C120" s="5">
        <f>32/46</f>
        <v>0.6956521739130435</v>
      </c>
      <c r="D120" s="5">
        <f t="shared" si="27"/>
        <v>0.30434782608695654</v>
      </c>
      <c r="E120" s="6">
        <f t="shared" si="1"/>
        <v>0.3913043478260869</v>
      </c>
      <c r="F120" s="5">
        <v>0.71087</v>
      </c>
      <c r="G120" s="5">
        <v>0.7109380000000001</v>
      </c>
      <c r="H120" s="5">
        <v>0.710714</v>
      </c>
      <c r="I120" s="6">
        <f t="shared" si="2"/>
        <v>0.000224000000000113</v>
      </c>
      <c r="J120" s="6">
        <f t="shared" si="29"/>
        <v>0</v>
      </c>
      <c r="K120" s="8">
        <v>0.57</v>
      </c>
      <c r="L120" s="9" t="s">
        <v>5</v>
      </c>
      <c r="M120" s="3">
        <f t="shared" si="4"/>
        <v>0</v>
      </c>
      <c r="N120" s="30">
        <f t="shared" si="30"/>
        <v>0</v>
      </c>
      <c r="O120" s="3">
        <f t="shared" si="31"/>
        <v>0</v>
      </c>
      <c r="P120" s="10">
        <f t="shared" si="7"/>
        <v>0</v>
      </c>
      <c r="Q120" s="6">
        <f t="shared" si="14"/>
        <v>0.49122807017543857</v>
      </c>
      <c r="R120" s="11">
        <v>2057.77</v>
      </c>
      <c r="S120" s="11">
        <v>2043.94</v>
      </c>
      <c r="T120" s="12">
        <f t="shared" si="8"/>
        <v>-13.829999999999927</v>
      </c>
      <c r="U120" s="13">
        <f t="shared" si="9"/>
        <v>-0.006720867735461168</v>
      </c>
      <c r="V120" s="6">
        <f t="shared" si="16"/>
        <v>0.45454545454545453</v>
      </c>
      <c r="W120" s="6">
        <f t="shared" si="28"/>
        <v>0.52</v>
      </c>
      <c r="X120" s="3">
        <f t="shared" si="10"/>
        <v>1</v>
      </c>
      <c r="Y120" s="3">
        <f t="shared" si="11"/>
        <v>0</v>
      </c>
      <c r="Z120" s="10">
        <f t="shared" si="12"/>
        <v>0</v>
      </c>
      <c r="AA120" s="13">
        <f t="shared" si="13"/>
        <v>0</v>
      </c>
    </row>
    <row r="121" spans="1:27" ht="14.25">
      <c r="A121" s="3">
        <f t="shared" si="19"/>
        <v>119</v>
      </c>
      <c r="B121" s="29">
        <f t="shared" si="20"/>
        <v>42373</v>
      </c>
      <c r="C121" s="5">
        <f>20/44</f>
        <v>0.45454545454545453</v>
      </c>
      <c r="D121" s="5">
        <f t="shared" si="27"/>
        <v>0.5454545454545454</v>
      </c>
      <c r="E121" s="6">
        <f t="shared" si="1"/>
        <v>-0.09090909090909088</v>
      </c>
      <c r="F121" s="5">
        <v>0.6931999999999999</v>
      </c>
      <c r="G121" s="5">
        <v>0.69</v>
      </c>
      <c r="H121" s="5">
        <v>0.6958</v>
      </c>
      <c r="I121" s="6">
        <f t="shared" si="2"/>
        <v>-0.005800000000000027</v>
      </c>
      <c r="J121" s="6">
        <f t="shared" si="29"/>
        <v>0</v>
      </c>
      <c r="K121" s="8">
        <v>0.63</v>
      </c>
      <c r="L121" s="9" t="s">
        <v>5</v>
      </c>
      <c r="M121" s="3">
        <f t="shared" si="4"/>
        <v>0</v>
      </c>
      <c r="N121" s="30">
        <f t="shared" si="30"/>
        <v>0</v>
      </c>
      <c r="O121" s="3">
        <f t="shared" si="31"/>
        <v>1</v>
      </c>
      <c r="P121" s="10">
        <f t="shared" si="7"/>
        <v>0</v>
      </c>
      <c r="Q121" s="6">
        <f t="shared" si="14"/>
        <v>0.4956521739130435</v>
      </c>
      <c r="R121" s="11">
        <v>2038.2</v>
      </c>
      <c r="S121" s="11">
        <v>1922.03</v>
      </c>
      <c r="T121" s="12">
        <f t="shared" si="8"/>
        <v>-116.17000000000007</v>
      </c>
      <c r="U121" s="13">
        <f t="shared" si="9"/>
        <v>-0.056996369345500966</v>
      </c>
      <c r="V121" s="6">
        <f t="shared" si="16"/>
        <v>0.45454545454545453</v>
      </c>
      <c r="W121" s="6">
        <f t="shared" si="28"/>
        <v>0.54</v>
      </c>
      <c r="X121" s="3">
        <f t="shared" si="10"/>
        <v>0</v>
      </c>
      <c r="Y121" s="3">
        <f t="shared" si="11"/>
        <v>1</v>
      </c>
      <c r="Z121" s="10">
        <f t="shared" si="12"/>
        <v>0</v>
      </c>
      <c r="AA121" s="13">
        <f t="shared" si="13"/>
        <v>0</v>
      </c>
    </row>
    <row r="122" spans="1:27" ht="14.25">
      <c r="A122" s="3">
        <f t="shared" si="19"/>
        <v>120</v>
      </c>
      <c r="B122" s="29">
        <f t="shared" si="20"/>
        <v>42380</v>
      </c>
      <c r="C122" s="5">
        <f>30/57</f>
        <v>0.5263157894736842</v>
      </c>
      <c r="D122" s="5">
        <f t="shared" si="27"/>
        <v>0.4736842105263158</v>
      </c>
      <c r="E122" s="6">
        <f t="shared" si="1"/>
        <v>0.05263157894736836</v>
      </c>
      <c r="F122" s="5">
        <v>0.6947</v>
      </c>
      <c r="G122" s="5">
        <v>0.6767</v>
      </c>
      <c r="H122" s="5">
        <v>0.7148</v>
      </c>
      <c r="I122" s="6">
        <f t="shared" si="2"/>
        <v>-0.03810000000000002</v>
      </c>
      <c r="J122" s="6">
        <f t="shared" si="29"/>
        <v>0</v>
      </c>
      <c r="M122" s="3">
        <f t="shared" si="4"/>
        <v>0</v>
      </c>
      <c r="N122" s="30">
        <f t="shared" si="30"/>
        <v>0</v>
      </c>
      <c r="O122" s="3">
        <f t="shared" si="31"/>
        <v>0</v>
      </c>
      <c r="P122" s="10">
        <f t="shared" si="7"/>
        <v>0</v>
      </c>
      <c r="Q122" s="6">
        <f t="shared" si="14"/>
        <v>0.49137931034482757</v>
      </c>
      <c r="R122" s="11">
        <v>1926.12</v>
      </c>
      <c r="S122" s="11">
        <v>1880.33</v>
      </c>
      <c r="T122" s="12">
        <f t="shared" si="8"/>
        <v>-45.789999999999964</v>
      </c>
      <c r="U122" s="13">
        <f t="shared" si="9"/>
        <v>-0.023773181317882565</v>
      </c>
      <c r="V122" s="6">
        <f t="shared" si="16"/>
        <v>0.36363636363636365</v>
      </c>
      <c r="W122" s="6">
        <f t="shared" si="28"/>
        <v>0.52</v>
      </c>
      <c r="X122" s="3">
        <f t="shared" si="10"/>
        <v>1</v>
      </c>
      <c r="Y122" s="3">
        <f t="shared" si="11"/>
        <v>1</v>
      </c>
      <c r="Z122" s="10">
        <f t="shared" si="12"/>
        <v>0</v>
      </c>
      <c r="AA122" s="13">
        <f t="shared" si="13"/>
        <v>-0.023773181317882565</v>
      </c>
    </row>
    <row r="123" spans="1:27" ht="14.25">
      <c r="A123" s="3">
        <f t="shared" si="19"/>
        <v>121</v>
      </c>
      <c r="B123" s="29">
        <f t="shared" si="20"/>
        <v>42387</v>
      </c>
      <c r="C123" s="5">
        <f>30/62</f>
        <v>0.4838709677419355</v>
      </c>
      <c r="D123" s="5">
        <f t="shared" si="27"/>
        <v>0.5161290322580645</v>
      </c>
      <c r="E123" s="6">
        <f t="shared" si="1"/>
        <v>-0.032258064516129004</v>
      </c>
      <c r="F123" s="5">
        <v>0.7040000000000001</v>
      </c>
      <c r="G123" s="5">
        <v>0.6733</v>
      </c>
      <c r="H123" s="5">
        <v>0.7328</v>
      </c>
      <c r="I123" s="6">
        <f t="shared" si="2"/>
        <v>-0.0595</v>
      </c>
      <c r="J123" s="6">
        <f t="shared" si="29"/>
        <v>0</v>
      </c>
      <c r="K123" s="8">
        <v>0.6</v>
      </c>
      <c r="L123" s="9" t="s">
        <v>5</v>
      </c>
      <c r="M123" s="3">
        <f t="shared" si="4"/>
        <v>0</v>
      </c>
      <c r="N123" s="30">
        <f t="shared" si="30"/>
        <v>0</v>
      </c>
      <c r="O123" s="3">
        <f t="shared" si="31"/>
        <v>0</v>
      </c>
      <c r="P123" s="10">
        <f t="shared" si="7"/>
        <v>1</v>
      </c>
      <c r="Q123" s="6">
        <f t="shared" si="14"/>
        <v>0.48717948717948717</v>
      </c>
      <c r="R123" s="11">
        <v>1888.66</v>
      </c>
      <c r="S123" s="11">
        <v>1906.9</v>
      </c>
      <c r="T123" s="12">
        <f t="shared" si="8"/>
        <v>18.24000000000001</v>
      </c>
      <c r="U123" s="13">
        <f t="shared" si="9"/>
        <v>0.00965764086706978</v>
      </c>
      <c r="V123" s="6">
        <f t="shared" si="16"/>
        <v>0.36363636363636365</v>
      </c>
      <c r="W123" s="6">
        <f t="shared" si="28"/>
        <v>0.52</v>
      </c>
      <c r="X123" s="3">
        <f t="shared" si="10"/>
        <v>0</v>
      </c>
      <c r="Y123" s="3">
        <f t="shared" si="11"/>
        <v>1</v>
      </c>
      <c r="Z123" s="10">
        <f t="shared" si="12"/>
        <v>0</v>
      </c>
      <c r="AA123" s="13">
        <f t="shared" si="13"/>
        <v>0</v>
      </c>
    </row>
    <row r="124" spans="1:27" ht="14.25">
      <c r="A124" s="3">
        <f t="shared" si="19"/>
        <v>122</v>
      </c>
      <c r="B124" s="29">
        <f t="shared" si="20"/>
        <v>42394</v>
      </c>
      <c r="C124" s="5">
        <f>39/64</f>
        <v>0.609375</v>
      </c>
      <c r="D124" s="5">
        <f t="shared" si="27"/>
        <v>0.390625</v>
      </c>
      <c r="E124" s="6">
        <f t="shared" si="1"/>
        <v>0.21875</v>
      </c>
      <c r="F124" s="5">
        <v>0.6938</v>
      </c>
      <c r="G124" s="5">
        <v>0.6962</v>
      </c>
      <c r="H124" s="5">
        <v>0.69</v>
      </c>
      <c r="I124" s="6">
        <f t="shared" si="2"/>
        <v>0.006200000000000094</v>
      </c>
      <c r="J124" s="6">
        <f t="shared" si="29"/>
        <v>0</v>
      </c>
      <c r="K124" s="8">
        <v>0.61</v>
      </c>
      <c r="L124" s="9" t="s">
        <v>5</v>
      </c>
      <c r="M124" s="3">
        <f t="shared" si="4"/>
        <v>0</v>
      </c>
      <c r="N124" s="30">
        <f t="shared" si="30"/>
        <v>0</v>
      </c>
      <c r="O124" s="3">
        <f t="shared" si="31"/>
        <v>1</v>
      </c>
      <c r="P124" s="10">
        <f t="shared" si="7"/>
        <v>1</v>
      </c>
      <c r="Q124" s="6">
        <f t="shared" si="14"/>
        <v>0.4915254237288136</v>
      </c>
      <c r="R124" s="11">
        <v>1906.28</v>
      </c>
      <c r="S124" s="11">
        <v>1940.24</v>
      </c>
      <c r="T124" s="12">
        <f t="shared" si="8"/>
        <v>33.960000000000036</v>
      </c>
      <c r="U124" s="13">
        <f t="shared" si="9"/>
        <v>0.01781480160312233</v>
      </c>
      <c r="V124" s="6">
        <f t="shared" si="16"/>
        <v>0.45454545454545453</v>
      </c>
      <c r="W124" s="6">
        <f t="shared" si="28"/>
        <v>0.54</v>
      </c>
      <c r="X124" s="3">
        <f t="shared" si="10"/>
        <v>1</v>
      </c>
      <c r="Y124" s="3">
        <f t="shared" si="11"/>
        <v>0</v>
      </c>
      <c r="Z124" s="10">
        <f t="shared" si="12"/>
        <v>0</v>
      </c>
      <c r="AA124" s="13">
        <f t="shared" si="13"/>
        <v>0</v>
      </c>
    </row>
    <row r="125" spans="1:27" ht="14.25">
      <c r="A125" s="3">
        <f t="shared" si="19"/>
        <v>123</v>
      </c>
      <c r="B125" s="29">
        <f t="shared" si="20"/>
        <v>42401</v>
      </c>
      <c r="C125" s="5">
        <f>48/76</f>
        <v>0.631578947368421</v>
      </c>
      <c r="D125" s="5">
        <f t="shared" si="27"/>
        <v>0.368421052631579</v>
      </c>
      <c r="E125" s="6">
        <f t="shared" si="1"/>
        <v>0.26315789473684204</v>
      </c>
      <c r="F125" s="5">
        <v>0.6855</v>
      </c>
      <c r="G125" s="5">
        <v>0.675</v>
      </c>
      <c r="H125" s="5">
        <v>0.7036</v>
      </c>
      <c r="I125" s="6">
        <f t="shared" si="2"/>
        <v>-0.02859999999999996</v>
      </c>
      <c r="J125" s="6">
        <f t="shared" si="29"/>
        <v>0</v>
      </c>
      <c r="M125" s="3">
        <f t="shared" si="4"/>
        <v>0</v>
      </c>
      <c r="N125" s="30">
        <f t="shared" si="30"/>
        <v>0</v>
      </c>
      <c r="O125" s="3">
        <f t="shared" si="31"/>
        <v>0</v>
      </c>
      <c r="P125" s="10">
        <f t="shared" si="7"/>
        <v>0</v>
      </c>
      <c r="Q125" s="6">
        <f t="shared" si="14"/>
        <v>0.48739495798319327</v>
      </c>
      <c r="R125" s="11">
        <v>1936.94</v>
      </c>
      <c r="S125" s="11">
        <v>1880.05</v>
      </c>
      <c r="T125" s="12">
        <f t="shared" si="8"/>
        <v>-56.8900000000001</v>
      </c>
      <c r="U125" s="13">
        <f t="shared" si="9"/>
        <v>-0.029371069831796597</v>
      </c>
      <c r="V125" s="6">
        <f t="shared" si="16"/>
        <v>0.45454545454545453</v>
      </c>
      <c r="W125" s="6">
        <f t="shared" si="28"/>
        <v>0.52</v>
      </c>
      <c r="X125" s="3">
        <f t="shared" si="10"/>
        <v>1</v>
      </c>
      <c r="Y125" s="3">
        <f t="shared" si="11"/>
        <v>1</v>
      </c>
      <c r="Z125" s="10">
        <f t="shared" si="12"/>
        <v>0</v>
      </c>
      <c r="AA125" s="13">
        <f t="shared" si="13"/>
        <v>-0.029371069831796597</v>
      </c>
    </row>
    <row r="126" spans="1:27" ht="14.25">
      <c r="A126" s="3">
        <f t="shared" si="19"/>
        <v>124</v>
      </c>
      <c r="B126" s="29">
        <f t="shared" si="20"/>
        <v>42408</v>
      </c>
      <c r="C126" s="5">
        <f>26/71</f>
        <v>0.36619718309859156</v>
      </c>
      <c r="D126" s="5">
        <f t="shared" si="27"/>
        <v>0.6338028169014085</v>
      </c>
      <c r="E126" s="6">
        <f t="shared" si="1"/>
        <v>-0.26760563380281693</v>
      </c>
      <c r="F126" s="5">
        <v>0.6901</v>
      </c>
      <c r="G126" s="5">
        <v>0.6635</v>
      </c>
      <c r="H126" s="5">
        <v>0.7056</v>
      </c>
      <c r="I126" s="6">
        <f t="shared" si="2"/>
        <v>-0.042100000000000026</v>
      </c>
      <c r="J126" s="6">
        <f t="shared" si="29"/>
        <v>0</v>
      </c>
      <c r="K126" s="8">
        <v>0.58</v>
      </c>
      <c r="L126" s="9" t="s">
        <v>5</v>
      </c>
      <c r="M126" s="3">
        <f t="shared" si="4"/>
        <v>0</v>
      </c>
      <c r="N126" s="30">
        <f t="shared" si="30"/>
        <v>0</v>
      </c>
      <c r="O126" s="3">
        <f t="shared" si="31"/>
        <v>1</v>
      </c>
      <c r="P126" s="10">
        <f t="shared" si="7"/>
        <v>0</v>
      </c>
      <c r="Q126" s="6">
        <f t="shared" si="14"/>
        <v>0.49166666666666664</v>
      </c>
      <c r="R126" s="11">
        <v>1873.25</v>
      </c>
      <c r="S126" s="11">
        <v>1864.78</v>
      </c>
      <c r="T126" s="12">
        <f t="shared" si="8"/>
        <v>-8.470000000000027</v>
      </c>
      <c r="U126" s="13">
        <f t="shared" si="9"/>
        <v>-0.004521553449886575</v>
      </c>
      <c r="V126" s="6">
        <f t="shared" si="16"/>
        <v>0.45454545454545453</v>
      </c>
      <c r="W126" s="6">
        <f t="shared" si="28"/>
        <v>0.52</v>
      </c>
      <c r="X126" s="3">
        <f t="shared" si="10"/>
        <v>0</v>
      </c>
      <c r="Y126" s="3">
        <f t="shared" si="11"/>
        <v>1</v>
      </c>
      <c r="Z126" s="10">
        <f t="shared" si="12"/>
        <v>0</v>
      </c>
      <c r="AA126" s="13">
        <f t="shared" si="13"/>
        <v>0</v>
      </c>
    </row>
    <row r="127" spans="1:27" ht="14.25">
      <c r="A127" s="3">
        <f t="shared" si="19"/>
        <v>125</v>
      </c>
      <c r="B127" s="29">
        <f t="shared" si="20"/>
        <v>42415</v>
      </c>
      <c r="C127" s="5">
        <f>46/69</f>
        <v>0.6666666666666666</v>
      </c>
      <c r="D127" s="5">
        <f t="shared" si="27"/>
        <v>0.33333333333333337</v>
      </c>
      <c r="E127" s="6">
        <f t="shared" si="1"/>
        <v>0.33333333333333326</v>
      </c>
      <c r="F127" s="5">
        <v>0.6877</v>
      </c>
      <c r="G127" s="5">
        <v>0.6772</v>
      </c>
      <c r="H127" s="5">
        <v>0.7087</v>
      </c>
      <c r="I127" s="6">
        <f t="shared" si="2"/>
        <v>-0.03149999999999997</v>
      </c>
      <c r="J127" s="6">
        <f t="shared" si="29"/>
        <v>0</v>
      </c>
      <c r="M127" s="3">
        <f t="shared" si="4"/>
        <v>0</v>
      </c>
      <c r="N127" s="30">
        <f t="shared" si="30"/>
        <v>0</v>
      </c>
      <c r="O127" s="3">
        <f t="shared" si="31"/>
        <v>1</v>
      </c>
      <c r="P127" s="10">
        <f t="shared" si="7"/>
        <v>1</v>
      </c>
      <c r="Q127" s="6">
        <f t="shared" si="14"/>
        <v>0.49586776859504134</v>
      </c>
      <c r="R127" s="11">
        <v>1871.44</v>
      </c>
      <c r="S127" s="11">
        <v>1917.78</v>
      </c>
      <c r="T127" s="12">
        <f t="shared" si="8"/>
        <v>46.33999999999992</v>
      </c>
      <c r="U127" s="13">
        <f t="shared" si="9"/>
        <v>0.024761680844697088</v>
      </c>
      <c r="V127" s="6">
        <f t="shared" si="16"/>
        <v>0.45454545454545453</v>
      </c>
      <c r="W127" s="6">
        <f t="shared" si="28"/>
        <v>0.54</v>
      </c>
      <c r="X127" s="3">
        <f t="shared" si="10"/>
        <v>1</v>
      </c>
      <c r="Y127" s="3">
        <f t="shared" si="11"/>
        <v>1</v>
      </c>
      <c r="Z127" s="10">
        <f t="shared" si="12"/>
        <v>1</v>
      </c>
      <c r="AA127" s="13">
        <f t="shared" si="13"/>
        <v>0.024761680844697088</v>
      </c>
    </row>
    <row r="128" spans="1:27" ht="14.25">
      <c r="A128" s="3">
        <f t="shared" si="19"/>
        <v>126</v>
      </c>
      <c r="B128" s="29">
        <f t="shared" si="20"/>
        <v>42422</v>
      </c>
      <c r="C128" s="5">
        <f>38/67</f>
        <v>0.5671641791044776</v>
      </c>
      <c r="D128" s="5">
        <f t="shared" si="27"/>
        <v>0.4328358208955224</v>
      </c>
      <c r="E128" s="6">
        <f t="shared" si="1"/>
        <v>0.13432835820895517</v>
      </c>
      <c r="F128" s="5">
        <v>0.6843</v>
      </c>
      <c r="G128" s="5">
        <v>0.6553</v>
      </c>
      <c r="H128" s="5">
        <v>0.7223999999999999</v>
      </c>
      <c r="I128" s="6">
        <f t="shared" si="2"/>
        <v>-0.06709999999999994</v>
      </c>
      <c r="J128" s="6">
        <f t="shared" si="29"/>
        <v>0</v>
      </c>
      <c r="M128" s="3">
        <f t="shared" si="4"/>
        <v>0</v>
      </c>
      <c r="N128" s="30">
        <f t="shared" si="30"/>
        <v>0</v>
      </c>
      <c r="O128" s="3">
        <f t="shared" si="31"/>
        <v>1</v>
      </c>
      <c r="P128" s="10">
        <f t="shared" si="7"/>
        <v>1</v>
      </c>
      <c r="Q128" s="6">
        <f t="shared" si="14"/>
        <v>0.5</v>
      </c>
      <c r="R128" s="11">
        <v>1924.44</v>
      </c>
      <c r="S128" s="11">
        <v>1948.05</v>
      </c>
      <c r="T128" s="12">
        <f t="shared" si="8"/>
        <v>23.6099999999999</v>
      </c>
      <c r="U128" s="13">
        <f t="shared" si="9"/>
        <v>0.012268504084304993</v>
      </c>
      <c r="V128" s="6">
        <f t="shared" si="16"/>
        <v>0.5454545454545454</v>
      </c>
      <c r="W128" s="6">
        <f t="shared" si="28"/>
        <v>0.54</v>
      </c>
      <c r="X128" s="3">
        <f t="shared" si="10"/>
        <v>1</v>
      </c>
      <c r="Y128" s="3">
        <f t="shared" si="11"/>
        <v>1</v>
      </c>
      <c r="Z128" s="10">
        <f t="shared" si="12"/>
        <v>1</v>
      </c>
      <c r="AA128" s="13">
        <f t="shared" si="13"/>
        <v>0.012268504084304993</v>
      </c>
    </row>
    <row r="129" spans="1:27" ht="14.25">
      <c r="A129" s="3">
        <f t="shared" si="19"/>
        <v>127</v>
      </c>
      <c r="B129" s="29">
        <f t="shared" si="20"/>
        <v>42429</v>
      </c>
      <c r="C129" s="5">
        <f>38/73</f>
        <v>0.5205479452054794</v>
      </c>
      <c r="D129" s="5">
        <f t="shared" si="27"/>
        <v>0.4794520547945206</v>
      </c>
      <c r="E129" s="6">
        <f t="shared" si="1"/>
        <v>0.041095890410958846</v>
      </c>
      <c r="F129" s="5">
        <v>0.6670999999999999</v>
      </c>
      <c r="G129" s="5">
        <v>0.6420999999999999</v>
      </c>
      <c r="H129" s="5">
        <v>0.6943</v>
      </c>
      <c r="I129" s="6">
        <f t="shared" si="2"/>
        <v>-0.052200000000000135</v>
      </c>
      <c r="J129" s="6">
        <f t="shared" si="29"/>
        <v>0</v>
      </c>
      <c r="M129" s="3">
        <f t="shared" si="4"/>
        <v>0</v>
      </c>
      <c r="N129" s="30">
        <f t="shared" si="30"/>
        <v>0</v>
      </c>
      <c r="O129" s="3">
        <f t="shared" si="31"/>
        <v>1</v>
      </c>
      <c r="P129" s="10">
        <f t="shared" si="7"/>
        <v>1</v>
      </c>
      <c r="Q129" s="6">
        <f t="shared" si="14"/>
        <v>0.5040650406504065</v>
      </c>
      <c r="R129" s="11">
        <v>1947.13</v>
      </c>
      <c r="S129" s="11">
        <v>1999.99</v>
      </c>
      <c r="T129" s="12">
        <f t="shared" si="8"/>
        <v>52.8599999999999</v>
      </c>
      <c r="U129" s="13">
        <f t="shared" si="9"/>
        <v>0.027147648076913146</v>
      </c>
      <c r="V129" s="6">
        <f t="shared" si="16"/>
        <v>0.6363636363636364</v>
      </c>
      <c r="W129" s="6">
        <f t="shared" si="28"/>
        <v>0.5490196078431373</v>
      </c>
      <c r="X129" s="3">
        <f t="shared" si="10"/>
        <v>1</v>
      </c>
      <c r="Y129" s="3">
        <f t="shared" si="11"/>
        <v>1</v>
      </c>
      <c r="Z129" s="10">
        <f t="shared" si="12"/>
        <v>1</v>
      </c>
      <c r="AA129" s="13">
        <f t="shared" si="13"/>
        <v>0.027147648076913146</v>
      </c>
    </row>
    <row r="130" spans="1:27" ht="14.25">
      <c r="A130" s="3">
        <f t="shared" si="19"/>
        <v>128</v>
      </c>
      <c r="B130" s="29">
        <f t="shared" si="20"/>
        <v>42436</v>
      </c>
      <c r="C130" s="5">
        <f>38/77</f>
        <v>0.4935064935064935</v>
      </c>
      <c r="D130" s="5">
        <f t="shared" si="27"/>
        <v>0.5064935064935066</v>
      </c>
      <c r="E130" s="6">
        <f t="shared" si="1"/>
        <v>-0.012987012987013047</v>
      </c>
      <c r="F130" s="5">
        <v>0.6875</v>
      </c>
      <c r="G130" s="5">
        <v>0.6526000000000001</v>
      </c>
      <c r="H130" s="5">
        <v>0.7231000000000001</v>
      </c>
      <c r="I130" s="6">
        <f t="shared" si="2"/>
        <v>-0.07050000000000001</v>
      </c>
      <c r="J130" s="6">
        <f t="shared" si="29"/>
        <v>0</v>
      </c>
      <c r="K130" s="8">
        <v>0.59</v>
      </c>
      <c r="L130" s="9" t="s">
        <v>5</v>
      </c>
      <c r="M130" s="3">
        <f t="shared" si="4"/>
        <v>0</v>
      </c>
      <c r="N130" s="30">
        <f t="shared" si="30"/>
        <v>0</v>
      </c>
      <c r="O130" s="3">
        <f t="shared" si="31"/>
        <v>0</v>
      </c>
      <c r="P130" s="10">
        <f t="shared" si="7"/>
        <v>1</v>
      </c>
      <c r="Q130" s="6">
        <f t="shared" si="14"/>
        <v>0.5</v>
      </c>
      <c r="R130" s="11">
        <v>1996.11</v>
      </c>
      <c r="S130" s="11">
        <v>2022.19</v>
      </c>
      <c r="T130" s="12">
        <f t="shared" si="8"/>
        <v>26.080000000000155</v>
      </c>
      <c r="U130" s="13">
        <f t="shared" si="9"/>
        <v>0.013065412226781167</v>
      </c>
      <c r="V130" s="6">
        <f t="shared" si="16"/>
        <v>0.5454545454545454</v>
      </c>
      <c r="W130" s="6">
        <f t="shared" si="28"/>
        <v>0.5294117647058824</v>
      </c>
      <c r="X130" s="3">
        <f t="shared" si="10"/>
        <v>0</v>
      </c>
      <c r="Y130" s="3">
        <f t="shared" si="11"/>
        <v>1</v>
      </c>
      <c r="Z130" s="10">
        <f t="shared" si="12"/>
        <v>0</v>
      </c>
      <c r="AA130" s="13">
        <f t="shared" si="13"/>
        <v>0</v>
      </c>
    </row>
    <row r="131" spans="1:27" ht="14.25">
      <c r="A131" s="3">
        <f t="shared" si="19"/>
        <v>129</v>
      </c>
      <c r="B131" s="29">
        <f t="shared" si="20"/>
        <v>42443</v>
      </c>
      <c r="C131" s="5">
        <f>49/78</f>
        <v>0.6282051282051282</v>
      </c>
      <c r="D131" s="5">
        <f t="shared" si="27"/>
        <v>0.3717948717948718</v>
      </c>
      <c r="E131" s="6">
        <f t="shared" si="1"/>
        <v>0.2564102564102564</v>
      </c>
      <c r="F131" s="5">
        <v>0.6936</v>
      </c>
      <c r="G131" s="5">
        <v>0.7061</v>
      </c>
      <c r="H131" s="5">
        <v>0.6724</v>
      </c>
      <c r="I131" s="6">
        <f t="shared" si="2"/>
        <v>0.03369999999999995</v>
      </c>
      <c r="J131" s="6">
        <f t="shared" si="29"/>
        <v>0</v>
      </c>
      <c r="K131" s="8">
        <v>0.63</v>
      </c>
      <c r="L131" s="9" t="s">
        <v>5</v>
      </c>
      <c r="M131" s="3">
        <f t="shared" si="4"/>
        <v>0</v>
      </c>
      <c r="N131" s="30">
        <f t="shared" si="30"/>
        <v>0</v>
      </c>
      <c r="O131" s="3">
        <f t="shared" si="31"/>
        <v>1</v>
      </c>
      <c r="P131" s="10">
        <f t="shared" si="7"/>
        <v>1</v>
      </c>
      <c r="Q131" s="6">
        <f t="shared" si="14"/>
        <v>0.504</v>
      </c>
      <c r="R131" s="11">
        <v>2019.27</v>
      </c>
      <c r="S131" s="11">
        <v>2049.58</v>
      </c>
      <c r="T131" s="12">
        <f t="shared" si="8"/>
        <v>30.309999999999945</v>
      </c>
      <c r="U131" s="13">
        <f t="shared" si="9"/>
        <v>0.015010375036523074</v>
      </c>
      <c r="V131" s="6">
        <f t="shared" si="16"/>
        <v>0.6363636363636364</v>
      </c>
      <c r="W131" s="6">
        <f t="shared" si="28"/>
        <v>0.5490196078431373</v>
      </c>
      <c r="X131" s="3">
        <f t="shared" si="10"/>
        <v>1</v>
      </c>
      <c r="Y131" s="3">
        <f t="shared" si="11"/>
        <v>0</v>
      </c>
      <c r="Z131" s="10">
        <f t="shared" si="12"/>
        <v>0</v>
      </c>
      <c r="AA131" s="13">
        <f t="shared" si="13"/>
        <v>0</v>
      </c>
    </row>
    <row r="132" spans="1:27" ht="14.25">
      <c r="A132" s="3">
        <f t="shared" si="19"/>
        <v>130</v>
      </c>
      <c r="B132" s="29">
        <f t="shared" si="20"/>
        <v>42450</v>
      </c>
      <c r="C132" s="5">
        <f>39/74</f>
        <v>0.527027027027027</v>
      </c>
      <c r="D132" s="5">
        <f t="shared" si="27"/>
        <v>0.472972972972973</v>
      </c>
      <c r="E132" s="6">
        <f t="shared" si="1"/>
        <v>0.054054054054053946</v>
      </c>
      <c r="F132" s="5">
        <v>0.6912</v>
      </c>
      <c r="G132" s="5">
        <v>0.6936</v>
      </c>
      <c r="H132" s="5">
        <v>0.6886</v>
      </c>
      <c r="I132" s="6">
        <f t="shared" si="2"/>
        <v>0.0050000000000000044</v>
      </c>
      <c r="J132" s="6">
        <f t="shared" si="29"/>
        <v>0</v>
      </c>
      <c r="M132" s="3">
        <f t="shared" si="4"/>
        <v>0</v>
      </c>
      <c r="N132" s="30">
        <f t="shared" si="30"/>
        <v>0</v>
      </c>
      <c r="O132" s="3">
        <f t="shared" si="31"/>
        <v>0</v>
      </c>
      <c r="P132" s="10">
        <f t="shared" si="7"/>
        <v>0</v>
      </c>
      <c r="Q132" s="6">
        <f t="shared" si="14"/>
        <v>0.5</v>
      </c>
      <c r="R132" s="11">
        <v>2047.88</v>
      </c>
      <c r="S132" s="11">
        <v>2035.94</v>
      </c>
      <c r="T132" s="12">
        <f t="shared" si="8"/>
        <v>-11.940000000000055</v>
      </c>
      <c r="U132" s="13">
        <f t="shared" si="9"/>
        <v>-0.005830419751157321</v>
      </c>
      <c r="V132" s="6">
        <f t="shared" si="16"/>
        <v>0.5454545454545454</v>
      </c>
      <c r="W132" s="6">
        <f t="shared" si="28"/>
        <v>0.5294117647058824</v>
      </c>
      <c r="X132" s="3">
        <f t="shared" si="10"/>
        <v>1</v>
      </c>
      <c r="Y132" s="3">
        <f t="shared" si="11"/>
        <v>0</v>
      </c>
      <c r="Z132" s="10">
        <f t="shared" si="12"/>
        <v>0</v>
      </c>
      <c r="AA132" s="13">
        <f t="shared" si="13"/>
        <v>0</v>
      </c>
    </row>
    <row r="133" spans="1:27" ht="14.25">
      <c r="A133" s="3">
        <f t="shared" si="19"/>
        <v>131</v>
      </c>
      <c r="B133" s="29">
        <f t="shared" si="20"/>
        <v>42457</v>
      </c>
      <c r="C133" s="5">
        <f>38/77</f>
        <v>0.4935064935064935</v>
      </c>
      <c r="D133" s="5">
        <f t="shared" si="27"/>
        <v>0.5064935064935066</v>
      </c>
      <c r="E133" s="6">
        <f t="shared" si="1"/>
        <v>-0.012987012987013047</v>
      </c>
      <c r="F133" s="5">
        <v>0.6701</v>
      </c>
      <c r="G133" s="5">
        <v>0.6408</v>
      </c>
      <c r="H133" s="5">
        <v>0.6987000000000001</v>
      </c>
      <c r="I133" s="6">
        <f t="shared" si="2"/>
        <v>-0.05790000000000006</v>
      </c>
      <c r="J133" s="6">
        <f t="shared" si="29"/>
        <v>0</v>
      </c>
      <c r="K133" s="8">
        <v>0.67</v>
      </c>
      <c r="L133" s="9" t="s">
        <v>5</v>
      </c>
      <c r="M133" s="3">
        <f t="shared" si="4"/>
        <v>0</v>
      </c>
      <c r="N133" s="30">
        <f t="shared" si="30"/>
        <v>0</v>
      </c>
      <c r="O133" s="3">
        <f t="shared" si="31"/>
        <v>0</v>
      </c>
      <c r="P133" s="10">
        <f t="shared" si="7"/>
        <v>1</v>
      </c>
      <c r="Q133" s="6">
        <f t="shared" si="14"/>
        <v>0.49606299212598426</v>
      </c>
      <c r="R133" s="11">
        <v>2037.89</v>
      </c>
      <c r="S133" s="11">
        <v>2072.78</v>
      </c>
      <c r="T133" s="12">
        <f t="shared" si="8"/>
        <v>34.8900000000001</v>
      </c>
      <c r="U133" s="13">
        <f t="shared" si="9"/>
        <v>0.017120649299029927</v>
      </c>
      <c r="V133" s="6">
        <f t="shared" si="16"/>
        <v>0.5454545454545454</v>
      </c>
      <c r="W133" s="6">
        <f t="shared" si="28"/>
        <v>0.5098039215686274</v>
      </c>
      <c r="X133" s="3">
        <f t="shared" si="10"/>
        <v>0</v>
      </c>
      <c r="Y133" s="3">
        <f t="shared" si="11"/>
        <v>1</v>
      </c>
      <c r="Z133" s="10">
        <f t="shared" si="12"/>
        <v>0</v>
      </c>
      <c r="AA133" s="13">
        <f t="shared" si="13"/>
        <v>0</v>
      </c>
    </row>
    <row r="134" spans="1:27" ht="14.25">
      <c r="A134" s="3">
        <f t="shared" si="19"/>
        <v>132</v>
      </c>
      <c r="B134" s="29">
        <f t="shared" si="20"/>
        <v>42464</v>
      </c>
      <c r="C134" s="5">
        <f>46/75</f>
        <v>0.6133333333333333</v>
      </c>
      <c r="D134" s="5">
        <f t="shared" si="27"/>
        <v>0.3866666666666667</v>
      </c>
      <c r="E134" s="6">
        <f t="shared" si="1"/>
        <v>0.22666666666666657</v>
      </c>
      <c r="F134" s="5">
        <v>0.7</v>
      </c>
      <c r="G134" s="5">
        <v>0.7065</v>
      </c>
      <c r="H134" s="5">
        <v>0.6897</v>
      </c>
      <c r="I134" s="6">
        <f t="shared" si="2"/>
        <v>0.016800000000000037</v>
      </c>
      <c r="J134" s="6">
        <f t="shared" si="29"/>
        <v>0</v>
      </c>
      <c r="K134" s="8">
        <v>0.57</v>
      </c>
      <c r="L134" s="9" t="s">
        <v>5</v>
      </c>
      <c r="M134" s="3">
        <f t="shared" si="4"/>
        <v>0</v>
      </c>
      <c r="N134" s="30">
        <f t="shared" si="30"/>
        <v>0</v>
      </c>
      <c r="O134" s="3">
        <f t="shared" si="31"/>
        <v>0</v>
      </c>
      <c r="P134" s="10">
        <f t="shared" si="7"/>
        <v>0</v>
      </c>
      <c r="Q134" s="6">
        <f t="shared" si="14"/>
        <v>0.4921875</v>
      </c>
      <c r="R134" s="11">
        <v>2073.19</v>
      </c>
      <c r="S134" s="11">
        <v>2047.6</v>
      </c>
      <c r="T134" s="12">
        <f t="shared" si="8"/>
        <v>-25.590000000000146</v>
      </c>
      <c r="U134" s="13">
        <f t="shared" si="9"/>
        <v>-0.012343297044651067</v>
      </c>
      <c r="V134" s="6">
        <f t="shared" si="16"/>
        <v>0.5454545454545454</v>
      </c>
      <c r="W134" s="6">
        <f t="shared" si="28"/>
        <v>0.5098039215686274</v>
      </c>
      <c r="X134" s="3">
        <f t="shared" si="10"/>
        <v>1</v>
      </c>
      <c r="Y134" s="3">
        <f t="shared" si="11"/>
        <v>0</v>
      </c>
      <c r="Z134" s="10">
        <f t="shared" si="12"/>
        <v>0</v>
      </c>
      <c r="AA134" s="13">
        <f t="shared" si="13"/>
        <v>0</v>
      </c>
    </row>
    <row r="135" spans="1:27" ht="14.25">
      <c r="A135" s="3">
        <f t="shared" si="19"/>
        <v>133</v>
      </c>
      <c r="B135" s="29">
        <f t="shared" si="20"/>
        <v>42471</v>
      </c>
      <c r="C135" s="5">
        <f>31/68</f>
        <v>0.45588235294117646</v>
      </c>
      <c r="D135" s="5">
        <f t="shared" si="27"/>
        <v>0.5441176470588236</v>
      </c>
      <c r="E135" s="6">
        <f t="shared" si="1"/>
        <v>-0.08823529411764713</v>
      </c>
      <c r="F135" s="5">
        <v>0.6846</v>
      </c>
      <c r="G135" s="5">
        <v>0.6774</v>
      </c>
      <c r="H135" s="5">
        <v>0.6905</v>
      </c>
      <c r="I135" s="6">
        <f t="shared" si="2"/>
        <v>-0.0131</v>
      </c>
      <c r="J135" s="6">
        <f t="shared" si="29"/>
        <v>0</v>
      </c>
      <c r="K135" s="8">
        <v>0.59</v>
      </c>
      <c r="L135" s="9" t="s">
        <v>5</v>
      </c>
      <c r="M135" s="3">
        <f t="shared" si="4"/>
        <v>0</v>
      </c>
      <c r="N135" s="30">
        <f t="shared" si="30"/>
        <v>0</v>
      </c>
      <c r="O135" s="3">
        <f t="shared" si="31"/>
        <v>0</v>
      </c>
      <c r="P135" s="10">
        <f t="shared" si="7"/>
        <v>1</v>
      </c>
      <c r="Q135" s="6">
        <f t="shared" si="14"/>
        <v>0.4883720930232558</v>
      </c>
      <c r="R135" s="11">
        <v>2050.23</v>
      </c>
      <c r="S135" s="11">
        <v>2080.73</v>
      </c>
      <c r="T135" s="12">
        <f t="shared" si="8"/>
        <v>30.5</v>
      </c>
      <c r="U135" s="13">
        <f t="shared" si="9"/>
        <v>0.014876379723250562</v>
      </c>
      <c r="V135" s="6">
        <f t="shared" si="16"/>
        <v>0.45454545454545453</v>
      </c>
      <c r="W135" s="6">
        <f t="shared" si="28"/>
        <v>0.49019607843137253</v>
      </c>
      <c r="X135" s="3">
        <f t="shared" si="10"/>
        <v>0</v>
      </c>
      <c r="Y135" s="3">
        <f t="shared" si="11"/>
        <v>1</v>
      </c>
      <c r="Z135" s="10">
        <f t="shared" si="12"/>
        <v>0</v>
      </c>
      <c r="AA135" s="13">
        <f t="shared" si="13"/>
        <v>0</v>
      </c>
    </row>
    <row r="136" spans="1:27" ht="14.25">
      <c r="A136" s="3">
        <f t="shared" si="19"/>
        <v>134</v>
      </c>
      <c r="B136" s="29">
        <f t="shared" si="20"/>
        <v>42478</v>
      </c>
      <c r="C136" s="5">
        <f>29/62</f>
        <v>0.46774193548387094</v>
      </c>
      <c r="D136" s="5">
        <f t="shared" si="27"/>
        <v>0.532258064516129</v>
      </c>
      <c r="E136" s="6">
        <f t="shared" si="1"/>
        <v>-0.06451612903225806</v>
      </c>
      <c r="F136" s="5">
        <v>0.6766</v>
      </c>
      <c r="G136" s="5">
        <v>0.6828</v>
      </c>
      <c r="H136" s="5">
        <v>0.6712</v>
      </c>
      <c r="I136" s="6">
        <f t="shared" si="2"/>
        <v>0.011599999999999944</v>
      </c>
      <c r="J136" s="6">
        <f t="shared" si="29"/>
        <v>0</v>
      </c>
      <c r="M136" s="3">
        <f t="shared" si="4"/>
        <v>0</v>
      </c>
      <c r="N136" s="30">
        <f t="shared" si="30"/>
        <v>0</v>
      </c>
      <c r="O136" s="3">
        <f t="shared" si="31"/>
        <v>0</v>
      </c>
      <c r="P136" s="10">
        <f t="shared" si="7"/>
        <v>1</v>
      </c>
      <c r="Q136" s="6">
        <f t="shared" si="14"/>
        <v>0.4846153846153846</v>
      </c>
      <c r="R136" s="11">
        <v>2078.83</v>
      </c>
      <c r="S136" s="11">
        <v>2091.58</v>
      </c>
      <c r="T136" s="12">
        <f t="shared" si="8"/>
        <v>12.75</v>
      </c>
      <c r="U136" s="13">
        <f t="shared" si="9"/>
        <v>0.0061332576497356685</v>
      </c>
      <c r="V136" s="6">
        <f t="shared" si="16"/>
        <v>0.45454545454545453</v>
      </c>
      <c r="W136" s="6">
        <f t="shared" si="28"/>
        <v>0.49019607843137253</v>
      </c>
      <c r="X136" s="3">
        <f t="shared" si="10"/>
        <v>0</v>
      </c>
      <c r="Y136" s="3">
        <f t="shared" si="11"/>
        <v>0</v>
      </c>
      <c r="Z136" s="10">
        <f t="shared" si="12"/>
        <v>0</v>
      </c>
      <c r="AA136" s="13">
        <f t="shared" si="13"/>
        <v>0</v>
      </c>
    </row>
    <row r="137" spans="1:27" ht="14.25">
      <c r="A137" s="3">
        <f t="shared" si="19"/>
        <v>135</v>
      </c>
      <c r="B137" s="29">
        <f t="shared" si="20"/>
        <v>42485</v>
      </c>
      <c r="C137" s="5">
        <f>43/89</f>
        <v>0.48314606741573035</v>
      </c>
      <c r="D137" s="5">
        <f t="shared" si="27"/>
        <v>0.5168539325842696</v>
      </c>
      <c r="E137" s="6">
        <f t="shared" si="1"/>
        <v>-0.03370786516853924</v>
      </c>
      <c r="F137" s="5">
        <v>0.6848000000000001</v>
      </c>
      <c r="G137" s="5">
        <v>0.7128</v>
      </c>
      <c r="H137" s="5">
        <v>0.6587000000000001</v>
      </c>
      <c r="I137" s="6">
        <f t="shared" si="2"/>
        <v>0.054099999999999926</v>
      </c>
      <c r="J137" s="6">
        <f t="shared" si="29"/>
        <v>0</v>
      </c>
      <c r="K137" s="8">
        <v>0.57</v>
      </c>
      <c r="L137" s="9" t="s">
        <v>5</v>
      </c>
      <c r="M137" s="3">
        <f t="shared" si="4"/>
        <v>0</v>
      </c>
      <c r="N137" s="30">
        <f t="shared" si="30"/>
        <v>0</v>
      </c>
      <c r="O137" s="3">
        <f t="shared" si="31"/>
        <v>1</v>
      </c>
      <c r="P137" s="10">
        <f t="shared" si="7"/>
        <v>0</v>
      </c>
      <c r="Q137" s="6">
        <f t="shared" si="14"/>
        <v>0.48854961832061067</v>
      </c>
      <c r="R137" s="11">
        <v>2089.37</v>
      </c>
      <c r="S137" s="11">
        <v>2065.3</v>
      </c>
      <c r="T137" s="12">
        <f t="shared" si="8"/>
        <v>-24.06999999999971</v>
      </c>
      <c r="U137" s="13">
        <f t="shared" si="9"/>
        <v>-0.011520219013386672</v>
      </c>
      <c r="V137" s="6">
        <f t="shared" si="16"/>
        <v>0.45454545454545453</v>
      </c>
      <c r="W137" s="6">
        <f t="shared" si="28"/>
        <v>0.49019607843137253</v>
      </c>
      <c r="X137" s="3">
        <f t="shared" si="10"/>
        <v>0</v>
      </c>
      <c r="Y137" s="3">
        <f t="shared" si="11"/>
        <v>0</v>
      </c>
      <c r="Z137" s="10">
        <f t="shared" si="12"/>
        <v>0</v>
      </c>
      <c r="AA137" s="13">
        <f t="shared" si="13"/>
        <v>0</v>
      </c>
    </row>
    <row r="138" spans="1:27" ht="14.25">
      <c r="A138" s="3">
        <f t="shared" si="19"/>
        <v>136</v>
      </c>
      <c r="B138" s="29">
        <f t="shared" si="20"/>
        <v>42492</v>
      </c>
      <c r="C138" s="5">
        <f>32/76</f>
        <v>0.42105263157894735</v>
      </c>
      <c r="D138" s="5">
        <f t="shared" si="27"/>
        <v>0.5789473684210527</v>
      </c>
      <c r="E138" s="6">
        <f t="shared" si="1"/>
        <v>-0.1578947368421053</v>
      </c>
      <c r="F138" s="5">
        <v>0.6908</v>
      </c>
      <c r="G138" s="5">
        <v>0.6484000000000001</v>
      </c>
      <c r="H138" s="5">
        <v>0.7216</v>
      </c>
      <c r="I138" s="6">
        <f t="shared" si="2"/>
        <v>-0.07319999999999993</v>
      </c>
      <c r="J138" s="6">
        <f t="shared" si="29"/>
        <v>0</v>
      </c>
      <c r="K138" s="8">
        <v>0.64</v>
      </c>
      <c r="L138" s="9" t="s">
        <v>5</v>
      </c>
      <c r="M138" s="3">
        <f t="shared" si="4"/>
        <v>0</v>
      </c>
      <c r="N138" s="30">
        <f t="shared" si="30"/>
        <v>0</v>
      </c>
      <c r="O138" s="3">
        <f t="shared" si="31"/>
        <v>1</v>
      </c>
      <c r="P138" s="10">
        <f t="shared" si="7"/>
        <v>0</v>
      </c>
      <c r="Q138" s="6">
        <f t="shared" si="14"/>
        <v>0.49242424242424243</v>
      </c>
      <c r="R138" s="11">
        <v>2067.17</v>
      </c>
      <c r="S138" s="11">
        <v>2057.14</v>
      </c>
      <c r="T138" s="12">
        <f t="shared" si="8"/>
        <v>-10.0300000000002</v>
      </c>
      <c r="U138" s="13">
        <f t="shared" si="9"/>
        <v>-0.004852044098937291</v>
      </c>
      <c r="V138" s="6">
        <f t="shared" si="16"/>
        <v>0.45454545454545453</v>
      </c>
      <c r="W138" s="6">
        <f t="shared" si="28"/>
        <v>0.49019607843137253</v>
      </c>
      <c r="X138" s="3">
        <f t="shared" si="10"/>
        <v>0</v>
      </c>
      <c r="Y138" s="3">
        <f t="shared" si="11"/>
        <v>1</v>
      </c>
      <c r="Z138" s="10">
        <f t="shared" si="12"/>
        <v>0</v>
      </c>
      <c r="AA138" s="13">
        <f t="shared" si="13"/>
        <v>0</v>
      </c>
    </row>
    <row r="139" spans="1:27" ht="14.25">
      <c r="A139" s="3">
        <f t="shared" si="19"/>
        <v>137</v>
      </c>
      <c r="B139" s="29">
        <f t="shared" si="20"/>
        <v>42499</v>
      </c>
      <c r="C139" s="5">
        <f>40/70</f>
        <v>0.5714285714285714</v>
      </c>
      <c r="D139" s="5">
        <f t="shared" si="27"/>
        <v>0.4285714285714286</v>
      </c>
      <c r="E139" s="6">
        <f t="shared" si="1"/>
        <v>0.1428571428571428</v>
      </c>
      <c r="F139" s="5">
        <v>0.6736</v>
      </c>
      <c r="G139" s="5">
        <v>0.665</v>
      </c>
      <c r="H139" s="5">
        <v>0.685</v>
      </c>
      <c r="I139" s="6">
        <f t="shared" si="2"/>
        <v>-0.020000000000000018</v>
      </c>
      <c r="J139" s="6">
        <f t="shared" si="29"/>
        <v>0</v>
      </c>
      <c r="K139" s="8">
        <v>0.52</v>
      </c>
      <c r="L139" s="9" t="s">
        <v>28</v>
      </c>
      <c r="M139" s="3">
        <f t="shared" si="4"/>
        <v>0</v>
      </c>
      <c r="N139" s="30">
        <f t="shared" si="30"/>
        <v>0</v>
      </c>
      <c r="O139" s="3">
        <f t="shared" si="31"/>
        <v>0</v>
      </c>
      <c r="P139" s="10">
        <f t="shared" si="7"/>
        <v>0</v>
      </c>
      <c r="Q139" s="6">
        <f t="shared" si="14"/>
        <v>0.48872180451127817</v>
      </c>
      <c r="R139" s="11">
        <v>2057.55</v>
      </c>
      <c r="S139" s="11">
        <v>2046.61</v>
      </c>
      <c r="T139" s="12">
        <f t="shared" si="8"/>
        <v>-10.940000000000282</v>
      </c>
      <c r="U139" s="13">
        <f t="shared" si="9"/>
        <v>-0.005317003231999359</v>
      </c>
      <c r="V139" s="6">
        <f t="shared" si="16"/>
        <v>0.36363636363636365</v>
      </c>
      <c r="W139" s="6">
        <f t="shared" si="28"/>
        <v>0.47058823529411764</v>
      </c>
      <c r="X139" s="3">
        <f t="shared" si="10"/>
        <v>1</v>
      </c>
      <c r="Y139" s="3">
        <f t="shared" si="11"/>
        <v>1</v>
      </c>
      <c r="Z139" s="10">
        <f t="shared" si="12"/>
        <v>0</v>
      </c>
      <c r="AA139" s="13">
        <f t="shared" si="13"/>
        <v>-0.005317003231999359</v>
      </c>
    </row>
    <row r="140" spans="1:27" ht="14.25">
      <c r="A140" s="3">
        <f t="shared" si="19"/>
        <v>138</v>
      </c>
      <c r="B140" s="29">
        <f t="shared" si="20"/>
        <v>42506</v>
      </c>
      <c r="C140" s="5">
        <f>18/59</f>
        <v>0.3050847457627119</v>
      </c>
      <c r="D140" s="5">
        <f t="shared" si="27"/>
        <v>0.6949152542372881</v>
      </c>
      <c r="E140" s="6">
        <f t="shared" si="1"/>
        <v>-0.3898305084745762</v>
      </c>
      <c r="F140" s="5">
        <v>0.7017</v>
      </c>
      <c r="G140" s="5">
        <v>0.6806</v>
      </c>
      <c r="H140" s="5">
        <v>0.711</v>
      </c>
      <c r="I140" s="6">
        <f t="shared" si="2"/>
        <v>-0.030399999999999983</v>
      </c>
      <c r="J140" s="6">
        <f t="shared" si="29"/>
        <v>0</v>
      </c>
      <c r="K140" s="8">
        <v>0.57</v>
      </c>
      <c r="L140" s="9" t="s">
        <v>28</v>
      </c>
      <c r="M140" s="3">
        <f t="shared" si="4"/>
        <v>0</v>
      </c>
      <c r="N140" s="30">
        <f t="shared" si="30"/>
        <v>0</v>
      </c>
      <c r="O140" s="3">
        <f t="shared" si="31"/>
        <v>1</v>
      </c>
      <c r="P140" s="10">
        <f t="shared" si="7"/>
        <v>0</v>
      </c>
      <c r="Q140" s="6">
        <f t="shared" si="14"/>
        <v>0.4925373134328358</v>
      </c>
      <c r="R140" s="11">
        <v>2062.5</v>
      </c>
      <c r="S140" s="11">
        <v>2052.32</v>
      </c>
      <c r="T140" s="12">
        <f t="shared" si="8"/>
        <v>-10.179999999999836</v>
      </c>
      <c r="U140" s="13">
        <f t="shared" si="9"/>
        <v>-0.004935757575757496</v>
      </c>
      <c r="V140" s="6">
        <f t="shared" si="16"/>
        <v>0.36363636363636365</v>
      </c>
      <c r="W140" s="6">
        <f t="shared" si="28"/>
        <v>0.49019607843137253</v>
      </c>
      <c r="X140" s="3">
        <f t="shared" si="10"/>
        <v>0</v>
      </c>
      <c r="Y140" s="3">
        <f t="shared" si="11"/>
        <v>1</v>
      </c>
      <c r="Z140" s="10">
        <f t="shared" si="12"/>
        <v>0</v>
      </c>
      <c r="AA140" s="13">
        <f t="shared" si="13"/>
        <v>0</v>
      </c>
    </row>
    <row r="141" spans="1:27" ht="14.25">
      <c r="A141" s="3">
        <f t="shared" si="19"/>
        <v>139</v>
      </c>
      <c r="B141" s="29">
        <f t="shared" si="20"/>
        <v>42513</v>
      </c>
      <c r="C141" s="5">
        <f>26/57</f>
        <v>0.45614035087719296</v>
      </c>
      <c r="D141" s="5">
        <f t="shared" si="27"/>
        <v>0.543859649122807</v>
      </c>
      <c r="E141" s="6">
        <f t="shared" si="1"/>
        <v>-0.08771929824561409</v>
      </c>
      <c r="F141" s="5">
        <v>0.6939</v>
      </c>
      <c r="G141" s="5">
        <v>0.7</v>
      </c>
      <c r="H141" s="5">
        <v>0.6887000000000001</v>
      </c>
      <c r="I141" s="6">
        <f t="shared" si="2"/>
        <v>0.011299999999999866</v>
      </c>
      <c r="J141" s="6">
        <f t="shared" si="29"/>
        <v>0</v>
      </c>
      <c r="K141" s="8">
        <v>0.63</v>
      </c>
      <c r="L141" s="9" t="s">
        <v>5</v>
      </c>
      <c r="M141" s="3">
        <f t="shared" si="4"/>
        <v>0</v>
      </c>
      <c r="N141" s="30">
        <f t="shared" si="30"/>
        <v>0</v>
      </c>
      <c r="O141" s="3">
        <f t="shared" si="31"/>
        <v>0</v>
      </c>
      <c r="P141" s="10">
        <f t="shared" si="7"/>
        <v>1</v>
      </c>
      <c r="Q141" s="6">
        <f t="shared" si="14"/>
        <v>0.4888888888888889</v>
      </c>
      <c r="R141" s="11">
        <v>2052.23</v>
      </c>
      <c r="S141" s="11">
        <v>2090.06</v>
      </c>
      <c r="T141" s="12">
        <f t="shared" si="8"/>
        <v>37.82999999999993</v>
      </c>
      <c r="U141" s="13">
        <f t="shared" si="9"/>
        <v>0.018433606369656387</v>
      </c>
      <c r="V141" s="6">
        <f t="shared" si="16"/>
        <v>0.36363636363636365</v>
      </c>
      <c r="W141" s="6">
        <f t="shared" si="28"/>
        <v>0.47058823529411764</v>
      </c>
      <c r="X141" s="3">
        <f t="shared" si="10"/>
        <v>0</v>
      </c>
      <c r="Y141" s="3">
        <f t="shared" si="11"/>
        <v>0</v>
      </c>
      <c r="Z141" s="10">
        <f t="shared" si="12"/>
        <v>0</v>
      </c>
      <c r="AA141" s="13">
        <f t="shared" si="13"/>
        <v>0</v>
      </c>
    </row>
    <row r="142" spans="1:27" ht="14.25">
      <c r="A142" s="3">
        <f t="shared" si="19"/>
        <v>140</v>
      </c>
      <c r="B142" s="29">
        <f t="shared" si="20"/>
        <v>42520</v>
      </c>
      <c r="C142" s="5">
        <f>35/71</f>
        <v>0.49295774647887325</v>
      </c>
      <c r="D142" s="5">
        <f t="shared" si="27"/>
        <v>0.5070422535211268</v>
      </c>
      <c r="E142" s="6">
        <f t="shared" si="1"/>
        <v>-0.014084507042253502</v>
      </c>
      <c r="F142" s="5">
        <v>0.6843</v>
      </c>
      <c r="G142" s="5">
        <v>0.6957</v>
      </c>
      <c r="H142" s="5">
        <v>0.6729</v>
      </c>
      <c r="I142" s="6">
        <f t="shared" si="2"/>
        <v>0.02279999999999993</v>
      </c>
      <c r="J142" s="6">
        <f t="shared" si="29"/>
        <v>0</v>
      </c>
      <c r="K142" s="8">
        <v>0.65</v>
      </c>
      <c r="L142" s="9" t="s">
        <v>5</v>
      </c>
      <c r="M142" s="3">
        <f t="shared" si="4"/>
        <v>0</v>
      </c>
      <c r="N142" s="30">
        <f t="shared" si="30"/>
        <v>0</v>
      </c>
      <c r="O142" s="3">
        <f t="shared" si="31"/>
        <v>1</v>
      </c>
      <c r="P142" s="10">
        <f t="shared" si="7"/>
        <v>0</v>
      </c>
      <c r="Q142" s="6">
        <f t="shared" si="14"/>
        <v>0.49264705882352944</v>
      </c>
      <c r="R142" s="11">
        <v>2100.13</v>
      </c>
      <c r="S142" s="11">
        <v>2099.13</v>
      </c>
      <c r="T142" s="12">
        <f t="shared" si="8"/>
        <v>-1</v>
      </c>
      <c r="U142" s="13">
        <f t="shared" si="9"/>
        <v>-0.00047616099955717026</v>
      </c>
      <c r="V142" s="6">
        <f t="shared" si="16"/>
        <v>0.36363636363636365</v>
      </c>
      <c r="W142" s="6">
        <f t="shared" si="28"/>
        <v>0.49019607843137253</v>
      </c>
      <c r="X142" s="3">
        <f t="shared" si="10"/>
        <v>0</v>
      </c>
      <c r="Y142" s="3">
        <f t="shared" si="11"/>
        <v>0</v>
      </c>
      <c r="Z142" s="10">
        <f t="shared" si="12"/>
        <v>0</v>
      </c>
      <c r="AA142" s="13">
        <f t="shared" si="13"/>
        <v>0</v>
      </c>
    </row>
    <row r="143" spans="1:27" ht="14.25">
      <c r="A143" s="3">
        <f t="shared" si="19"/>
        <v>141</v>
      </c>
      <c r="B143" s="29">
        <f t="shared" si="20"/>
        <v>42527</v>
      </c>
      <c r="C143" s="5">
        <f>33/68</f>
        <v>0.4852941176470588</v>
      </c>
      <c r="D143" s="5">
        <f t="shared" si="27"/>
        <v>0.5147058823529411</v>
      </c>
      <c r="E143" s="6">
        <f t="shared" si="1"/>
        <v>-0.029411764705882304</v>
      </c>
      <c r="F143" s="5">
        <v>0.6846</v>
      </c>
      <c r="G143" s="5">
        <v>0.6955</v>
      </c>
      <c r="H143" s="5">
        <v>0.6743000000000001</v>
      </c>
      <c r="I143" s="6">
        <f t="shared" si="2"/>
        <v>0.021199999999999886</v>
      </c>
      <c r="J143" s="6">
        <f t="shared" si="29"/>
        <v>0</v>
      </c>
      <c r="K143" s="8">
        <v>0.61</v>
      </c>
      <c r="L143" s="9" t="s">
        <v>5</v>
      </c>
      <c r="M143" s="3">
        <f t="shared" si="4"/>
        <v>0</v>
      </c>
      <c r="N143" s="30">
        <f t="shared" si="30"/>
        <v>0</v>
      </c>
      <c r="O143" s="3">
        <f t="shared" si="31"/>
        <v>1</v>
      </c>
      <c r="P143" s="10">
        <f t="shared" si="7"/>
        <v>0</v>
      </c>
      <c r="Q143" s="6">
        <f t="shared" si="14"/>
        <v>0.49635036496350365</v>
      </c>
      <c r="R143" s="11">
        <v>2100.83</v>
      </c>
      <c r="S143" s="11">
        <v>2096.07</v>
      </c>
      <c r="T143" s="12">
        <f t="shared" si="8"/>
        <v>-4.7599999999997635</v>
      </c>
      <c r="U143" s="13">
        <f t="shared" si="9"/>
        <v>-0.002265771147593934</v>
      </c>
      <c r="V143" s="6">
        <f t="shared" si="16"/>
        <v>0.45454545454545453</v>
      </c>
      <c r="W143" s="6">
        <f t="shared" si="28"/>
        <v>0.49019607843137253</v>
      </c>
      <c r="X143" s="3">
        <f t="shared" si="10"/>
        <v>0</v>
      </c>
      <c r="Y143" s="3">
        <f t="shared" si="11"/>
        <v>0</v>
      </c>
      <c r="Z143" s="10">
        <f t="shared" si="12"/>
        <v>0</v>
      </c>
      <c r="AA143" s="13">
        <f t="shared" si="13"/>
        <v>0</v>
      </c>
    </row>
    <row r="144" spans="1:27" ht="14.25">
      <c r="A144" s="3">
        <f t="shared" si="19"/>
        <v>142</v>
      </c>
      <c r="B144" s="29">
        <f t="shared" si="20"/>
        <v>42534</v>
      </c>
      <c r="C144" s="5">
        <f>20/56</f>
        <v>0.35714285714285715</v>
      </c>
      <c r="D144" s="5">
        <f t="shared" si="27"/>
        <v>0.6428571428571428</v>
      </c>
      <c r="E144" s="6">
        <f t="shared" si="1"/>
        <v>-0.28571428571428564</v>
      </c>
      <c r="F144" s="5">
        <v>0.7045</v>
      </c>
      <c r="G144" s="5">
        <v>0.7125</v>
      </c>
      <c r="H144" s="5">
        <v>0.7</v>
      </c>
      <c r="I144" s="6">
        <f t="shared" si="2"/>
        <v>0.012500000000000067</v>
      </c>
      <c r="J144" s="6">
        <f t="shared" si="29"/>
        <v>0</v>
      </c>
      <c r="K144" s="8">
        <v>0.75</v>
      </c>
      <c r="L144" s="9" t="s">
        <v>5</v>
      </c>
      <c r="M144" s="3">
        <f t="shared" si="4"/>
        <v>0</v>
      </c>
      <c r="N144" s="30">
        <f t="shared" si="30"/>
        <v>0</v>
      </c>
      <c r="O144" s="3">
        <f t="shared" si="31"/>
        <v>1</v>
      </c>
      <c r="P144" s="10">
        <f t="shared" si="7"/>
        <v>0</v>
      </c>
      <c r="Q144" s="6">
        <f t="shared" si="14"/>
        <v>0.5</v>
      </c>
      <c r="R144" s="11">
        <v>2091.75</v>
      </c>
      <c r="S144" s="11">
        <v>2071.22</v>
      </c>
      <c r="T144" s="12">
        <f t="shared" si="8"/>
        <v>-20.5300000000002</v>
      </c>
      <c r="U144" s="13">
        <f t="shared" si="9"/>
        <v>-0.009814748416397848</v>
      </c>
      <c r="V144" s="6">
        <f t="shared" si="16"/>
        <v>0.5454545454545454</v>
      </c>
      <c r="W144" s="6">
        <f t="shared" si="28"/>
        <v>0.49019607843137253</v>
      </c>
      <c r="X144" s="3">
        <f t="shared" si="10"/>
        <v>0</v>
      </c>
      <c r="Y144" s="3">
        <f t="shared" si="11"/>
        <v>0</v>
      </c>
      <c r="Z144" s="10">
        <f t="shared" si="12"/>
        <v>0</v>
      </c>
      <c r="AA144" s="13">
        <f t="shared" si="13"/>
        <v>0</v>
      </c>
    </row>
    <row r="145" spans="1:27" ht="14.25">
      <c r="A145" s="3">
        <f t="shared" si="19"/>
        <v>143</v>
      </c>
      <c r="B145" s="29">
        <f t="shared" si="20"/>
        <v>42541</v>
      </c>
      <c r="C145" s="5">
        <f>35/77</f>
        <v>0.45454545454545453</v>
      </c>
      <c r="D145" s="5">
        <f t="shared" si="27"/>
        <v>0.5454545454545454</v>
      </c>
      <c r="E145" s="6">
        <f t="shared" si="1"/>
        <v>-0.09090909090909088</v>
      </c>
      <c r="F145" s="5">
        <v>0.6942</v>
      </c>
      <c r="G145" s="5">
        <v>0.67</v>
      </c>
      <c r="H145" s="5">
        <v>0.7143</v>
      </c>
      <c r="I145" s="6">
        <f t="shared" si="2"/>
        <v>-0.044300000000000006</v>
      </c>
      <c r="J145" s="6">
        <f t="shared" si="29"/>
        <v>0</v>
      </c>
      <c r="K145" s="8">
        <v>0.6</v>
      </c>
      <c r="L145" s="9" t="s">
        <v>5</v>
      </c>
      <c r="M145" s="3">
        <f t="shared" si="4"/>
        <v>0</v>
      </c>
      <c r="N145" s="30">
        <f t="shared" si="30"/>
        <v>0</v>
      </c>
      <c r="O145" s="3">
        <f t="shared" si="31"/>
        <v>1</v>
      </c>
      <c r="P145" s="10">
        <f t="shared" si="7"/>
        <v>0</v>
      </c>
      <c r="Q145" s="6">
        <f t="shared" si="14"/>
        <v>0.5035971223021583</v>
      </c>
      <c r="R145" s="11">
        <v>2075.58</v>
      </c>
      <c r="S145" s="11">
        <v>2037.3</v>
      </c>
      <c r="T145" s="12">
        <f t="shared" si="8"/>
        <v>-38.27999999999997</v>
      </c>
      <c r="U145" s="13">
        <f t="shared" si="9"/>
        <v>-0.018443037608764767</v>
      </c>
      <c r="V145" s="6">
        <f t="shared" si="16"/>
        <v>0.6363636363636364</v>
      </c>
      <c r="W145" s="6">
        <f t="shared" si="28"/>
        <v>0.5098039215686274</v>
      </c>
      <c r="X145" s="3">
        <f t="shared" si="10"/>
        <v>0</v>
      </c>
      <c r="Y145" s="3">
        <f t="shared" si="11"/>
        <v>1</v>
      </c>
      <c r="Z145" s="10">
        <f t="shared" si="12"/>
        <v>0</v>
      </c>
      <c r="AA145" s="13">
        <f t="shared" si="13"/>
        <v>0</v>
      </c>
    </row>
    <row r="146" spans="1:27" ht="14.25">
      <c r="A146" s="3">
        <f t="shared" si="19"/>
        <v>144</v>
      </c>
      <c r="B146" s="29">
        <f t="shared" si="20"/>
        <v>42548</v>
      </c>
      <c r="C146" s="5">
        <f>31/75</f>
        <v>0.41333333333333333</v>
      </c>
      <c r="D146" s="5">
        <f t="shared" si="27"/>
        <v>0.5866666666666667</v>
      </c>
      <c r="E146" s="6">
        <f t="shared" si="1"/>
        <v>-0.17333333333333334</v>
      </c>
      <c r="F146" s="5">
        <v>0.6893</v>
      </c>
      <c r="G146" s="5">
        <v>0.6484000000000001</v>
      </c>
      <c r="H146" s="5">
        <v>0.7182</v>
      </c>
      <c r="I146" s="6">
        <f t="shared" si="2"/>
        <v>-0.06979999999999986</v>
      </c>
      <c r="J146" s="6">
        <f t="shared" si="29"/>
        <v>0</v>
      </c>
      <c r="K146" s="8">
        <v>0.7</v>
      </c>
      <c r="L146" s="9" t="s">
        <v>28</v>
      </c>
      <c r="M146" s="3">
        <f t="shared" si="4"/>
        <v>0</v>
      </c>
      <c r="N146" s="30">
        <f t="shared" si="30"/>
        <v>0</v>
      </c>
      <c r="O146" s="3">
        <f t="shared" si="31"/>
        <v>0</v>
      </c>
      <c r="P146" s="10">
        <f t="shared" si="7"/>
        <v>1</v>
      </c>
      <c r="Q146" s="6">
        <f t="shared" si="14"/>
        <v>0.5</v>
      </c>
      <c r="R146" s="11">
        <v>2031.45</v>
      </c>
      <c r="S146" s="11">
        <v>2102.95</v>
      </c>
      <c r="T146" s="12">
        <f t="shared" si="8"/>
        <v>71.49999999999977</v>
      </c>
      <c r="U146" s="13">
        <f t="shared" si="9"/>
        <v>0.03519653449506499</v>
      </c>
      <c r="V146" s="6">
        <f t="shared" si="16"/>
        <v>0.6363636363636364</v>
      </c>
      <c r="W146" s="6">
        <f t="shared" si="28"/>
        <v>0.5098039215686274</v>
      </c>
      <c r="X146" s="3">
        <f t="shared" si="10"/>
        <v>0</v>
      </c>
      <c r="Y146" s="3">
        <f t="shared" si="11"/>
        <v>1</v>
      </c>
      <c r="Z146" s="10">
        <f t="shared" si="12"/>
        <v>0</v>
      </c>
      <c r="AA146" s="13">
        <f t="shared" si="13"/>
        <v>0</v>
      </c>
    </row>
    <row r="147" spans="1:27" ht="14.25">
      <c r="A147" s="3">
        <f t="shared" si="19"/>
        <v>145</v>
      </c>
      <c r="B147" s="29">
        <f t="shared" si="20"/>
        <v>42555</v>
      </c>
      <c r="C147" s="5">
        <f>37/77</f>
        <v>0.4805194805194805</v>
      </c>
      <c r="D147" s="5">
        <f t="shared" si="27"/>
        <v>0.5194805194805194</v>
      </c>
      <c r="E147" s="6">
        <f t="shared" si="1"/>
        <v>-0.03896103896103892</v>
      </c>
      <c r="F147" s="5">
        <v>0.6799</v>
      </c>
      <c r="G147" s="5">
        <v>0.6892</v>
      </c>
      <c r="H147" s="5">
        <v>0.6713</v>
      </c>
      <c r="I147" s="6">
        <f t="shared" si="2"/>
        <v>0.017900000000000027</v>
      </c>
      <c r="J147" s="6">
        <f t="shared" si="29"/>
        <v>0</v>
      </c>
      <c r="K147" s="8">
        <v>0.55</v>
      </c>
      <c r="L147" s="9" t="s">
        <v>28</v>
      </c>
      <c r="M147" s="3">
        <f t="shared" si="4"/>
        <v>0</v>
      </c>
      <c r="N147" s="30">
        <f t="shared" si="30"/>
        <v>0</v>
      </c>
      <c r="O147" s="3">
        <f t="shared" si="31"/>
        <v>0</v>
      </c>
      <c r="P147" s="10">
        <f t="shared" si="7"/>
        <v>1</v>
      </c>
      <c r="Q147" s="6">
        <f t="shared" si="14"/>
        <v>0.49645390070921985</v>
      </c>
      <c r="R147" s="11">
        <v>2095.05</v>
      </c>
      <c r="S147" s="11">
        <v>2129.9</v>
      </c>
      <c r="T147" s="12">
        <f t="shared" si="8"/>
        <v>34.84999999999991</v>
      </c>
      <c r="U147" s="13">
        <f t="shared" si="9"/>
        <v>0.016634447865206035</v>
      </c>
      <c r="V147" s="6">
        <f t="shared" si="16"/>
        <v>0.6363636363636364</v>
      </c>
      <c r="W147" s="6">
        <f t="shared" si="28"/>
        <v>0.49019607843137253</v>
      </c>
      <c r="X147" s="3">
        <f t="shared" si="10"/>
        <v>0</v>
      </c>
      <c r="Y147" s="3">
        <f t="shared" si="11"/>
        <v>0</v>
      </c>
      <c r="Z147" s="10">
        <f t="shared" si="12"/>
        <v>0</v>
      </c>
      <c r="AA147" s="13">
        <f t="shared" si="13"/>
        <v>0</v>
      </c>
    </row>
    <row r="148" spans="1:27" ht="14.25">
      <c r="A148" s="3">
        <f t="shared" si="19"/>
        <v>146</v>
      </c>
      <c r="B148" s="29">
        <f t="shared" si="20"/>
        <v>42562</v>
      </c>
      <c r="C148" s="5">
        <f>46/86</f>
        <v>0.5348837209302325</v>
      </c>
      <c r="D148" s="5">
        <f t="shared" si="27"/>
        <v>0.4651162790697675</v>
      </c>
      <c r="E148" s="6">
        <f t="shared" si="1"/>
        <v>0.06976744186046502</v>
      </c>
      <c r="F148" s="5">
        <v>0.7047</v>
      </c>
      <c r="G148" s="5">
        <v>0.713</v>
      </c>
      <c r="H148" s="5">
        <v>0.695</v>
      </c>
      <c r="I148" s="6">
        <f t="shared" si="2"/>
        <v>0.018000000000000016</v>
      </c>
      <c r="J148" s="6">
        <f t="shared" si="29"/>
        <v>0</v>
      </c>
      <c r="K148" s="8">
        <v>0.54</v>
      </c>
      <c r="L148" s="9" t="s">
        <v>28</v>
      </c>
      <c r="M148" s="3">
        <f t="shared" si="4"/>
        <v>0</v>
      </c>
      <c r="N148" s="30">
        <f t="shared" si="30"/>
        <v>0</v>
      </c>
      <c r="O148" s="3">
        <f t="shared" si="31"/>
        <v>1</v>
      </c>
      <c r="P148" s="10">
        <f t="shared" si="7"/>
        <v>1</v>
      </c>
      <c r="Q148" s="6">
        <f t="shared" si="14"/>
        <v>0.5</v>
      </c>
      <c r="R148" s="11">
        <v>2131.72</v>
      </c>
      <c r="S148" s="11">
        <v>2161.74</v>
      </c>
      <c r="T148" s="12">
        <f t="shared" si="8"/>
        <v>30.019999999999982</v>
      </c>
      <c r="U148" s="13">
        <f t="shared" si="9"/>
        <v>0.014082524909462773</v>
      </c>
      <c r="V148" s="6">
        <f t="shared" si="16"/>
        <v>0.6363636363636364</v>
      </c>
      <c r="W148" s="6">
        <f t="shared" si="28"/>
        <v>0.5098039215686274</v>
      </c>
      <c r="X148" s="3">
        <f t="shared" si="10"/>
        <v>1</v>
      </c>
      <c r="Y148" s="3">
        <f t="shared" si="11"/>
        <v>0</v>
      </c>
      <c r="Z148" s="10">
        <f t="shared" si="12"/>
        <v>0</v>
      </c>
      <c r="AA148" s="13">
        <f t="shared" si="13"/>
        <v>0</v>
      </c>
    </row>
    <row r="149" spans="1:27" ht="14.25">
      <c r="A149" s="3">
        <f t="shared" si="19"/>
        <v>147</v>
      </c>
      <c r="B149" s="29">
        <f t="shared" si="20"/>
        <v>42569</v>
      </c>
      <c r="C149" s="5">
        <f>26/63</f>
        <v>0.4126984126984127</v>
      </c>
      <c r="D149" s="5">
        <f t="shared" si="27"/>
        <v>0.5873015873015873</v>
      </c>
      <c r="E149" s="6">
        <f t="shared" si="1"/>
        <v>-0.17460317460317465</v>
      </c>
      <c r="F149" s="5">
        <v>0.6984</v>
      </c>
      <c r="G149" s="5">
        <v>0.7095999999999999</v>
      </c>
      <c r="H149" s="5">
        <v>0.6905</v>
      </c>
      <c r="I149" s="6">
        <f t="shared" si="2"/>
        <v>0.019099999999999895</v>
      </c>
      <c r="J149" s="6">
        <f t="shared" si="29"/>
        <v>0</v>
      </c>
      <c r="K149" s="8">
        <v>0.67</v>
      </c>
      <c r="L149" s="9" t="s">
        <v>5</v>
      </c>
      <c r="M149" s="3">
        <f t="shared" si="4"/>
        <v>0</v>
      </c>
      <c r="N149" s="30">
        <f t="shared" si="30"/>
        <v>0</v>
      </c>
      <c r="O149" s="3">
        <f t="shared" si="31"/>
        <v>0</v>
      </c>
      <c r="P149" s="10">
        <f t="shared" si="7"/>
        <v>1</v>
      </c>
      <c r="Q149" s="6">
        <f t="shared" si="14"/>
        <v>0.4965034965034965</v>
      </c>
      <c r="R149" s="11">
        <v>2162.04</v>
      </c>
      <c r="S149" s="11">
        <v>2175.03</v>
      </c>
      <c r="T149" s="12">
        <f t="shared" si="8"/>
        <v>12.990000000000236</v>
      </c>
      <c r="U149" s="13">
        <f t="shared" si="9"/>
        <v>0.006008214464117332</v>
      </c>
      <c r="V149" s="6">
        <f t="shared" si="16"/>
        <v>0.5454545454545454</v>
      </c>
      <c r="W149" s="6">
        <f t="shared" si="28"/>
        <v>0.5098039215686274</v>
      </c>
      <c r="X149" s="3">
        <f t="shared" si="10"/>
        <v>0</v>
      </c>
      <c r="Y149" s="3">
        <f t="shared" si="11"/>
        <v>0</v>
      </c>
      <c r="Z149" s="10">
        <f t="shared" si="12"/>
        <v>0</v>
      </c>
      <c r="AA149" s="13">
        <f t="shared" si="13"/>
        <v>0</v>
      </c>
    </row>
    <row r="150" spans="1:27" ht="14.25">
      <c r="A150" s="3">
        <f t="shared" si="19"/>
        <v>148</v>
      </c>
      <c r="B150" s="29">
        <f t="shared" si="20"/>
        <v>42576</v>
      </c>
      <c r="C150" s="5">
        <f>45/72</f>
        <v>0.625</v>
      </c>
      <c r="D150" s="5">
        <f t="shared" si="27"/>
        <v>0.375</v>
      </c>
      <c r="E150" s="6">
        <f t="shared" si="1"/>
        <v>0.25</v>
      </c>
      <c r="F150" s="5">
        <v>0.6611</v>
      </c>
      <c r="G150" s="5">
        <v>0.65</v>
      </c>
      <c r="H150" s="5">
        <v>0.6796</v>
      </c>
      <c r="I150" s="6">
        <f t="shared" si="2"/>
        <v>-0.02959999999999996</v>
      </c>
      <c r="J150" s="6">
        <f t="shared" si="29"/>
        <v>0</v>
      </c>
      <c r="K150" s="8">
        <v>0.55</v>
      </c>
      <c r="L150" s="9" t="s">
        <v>28</v>
      </c>
      <c r="M150" s="3">
        <f t="shared" si="4"/>
        <v>0</v>
      </c>
      <c r="N150" s="30">
        <f t="shared" si="30"/>
        <v>0</v>
      </c>
      <c r="O150" s="3">
        <f t="shared" si="31"/>
        <v>0</v>
      </c>
      <c r="P150" s="10">
        <f t="shared" si="7"/>
        <v>0</v>
      </c>
      <c r="Q150" s="6">
        <f t="shared" si="14"/>
        <v>0.4930555555555556</v>
      </c>
      <c r="R150" s="11">
        <v>2173.71</v>
      </c>
      <c r="S150" s="11">
        <v>2173.6</v>
      </c>
      <c r="T150" s="12">
        <f t="shared" si="8"/>
        <v>-0.11000000000012733</v>
      </c>
      <c r="U150" s="13">
        <f t="shared" si="9"/>
        <v>-5.060472648151194E-05</v>
      </c>
      <c r="V150" s="6">
        <f t="shared" si="16"/>
        <v>0.5454545454545454</v>
      </c>
      <c r="W150" s="6">
        <f t="shared" si="28"/>
        <v>0.5098039215686274</v>
      </c>
      <c r="X150" s="3">
        <f t="shared" si="10"/>
        <v>1</v>
      </c>
      <c r="Y150" s="3">
        <f t="shared" si="11"/>
        <v>1</v>
      </c>
      <c r="Z150" s="10">
        <f t="shared" si="12"/>
        <v>0</v>
      </c>
      <c r="AA150" s="13">
        <f t="shared" si="13"/>
        <v>-5.060472648151194E-05</v>
      </c>
    </row>
    <row r="151" spans="1:27" ht="14.25">
      <c r="A151" s="3">
        <f t="shared" si="19"/>
        <v>149</v>
      </c>
      <c r="B151" s="29">
        <f t="shared" si="20"/>
        <v>42583</v>
      </c>
      <c r="C151" s="5">
        <f>33/70</f>
        <v>0.4714285714285714</v>
      </c>
      <c r="D151" s="5">
        <f t="shared" si="27"/>
        <v>0.5285714285714286</v>
      </c>
      <c r="E151" s="6">
        <f t="shared" si="1"/>
        <v>-0.05714285714285716</v>
      </c>
      <c r="F151" s="5">
        <v>0.6886</v>
      </c>
      <c r="G151" s="5">
        <v>0.6939</v>
      </c>
      <c r="H151" s="5">
        <v>0.6838</v>
      </c>
      <c r="I151" s="6">
        <f t="shared" si="2"/>
        <v>0.010099999999999998</v>
      </c>
      <c r="J151" s="6">
        <f t="shared" si="29"/>
        <v>0</v>
      </c>
      <c r="K151" s="8">
        <v>0.63</v>
      </c>
      <c r="L151" s="9" t="s">
        <v>28</v>
      </c>
      <c r="M151" s="3">
        <f t="shared" si="4"/>
        <v>0</v>
      </c>
      <c r="N151" s="30">
        <f t="shared" si="30"/>
        <v>0</v>
      </c>
      <c r="O151" s="3">
        <f t="shared" si="31"/>
        <v>0</v>
      </c>
      <c r="P151" s="10">
        <f t="shared" si="7"/>
        <v>1</v>
      </c>
      <c r="Q151" s="6">
        <f t="shared" si="14"/>
        <v>0.4896551724137931</v>
      </c>
      <c r="R151" s="11">
        <v>2173.15</v>
      </c>
      <c r="S151" s="11">
        <v>2182.87</v>
      </c>
      <c r="T151" s="12">
        <f t="shared" si="8"/>
        <v>9.7199999999998</v>
      </c>
      <c r="U151" s="13">
        <f t="shared" si="9"/>
        <v>0.004472769942249637</v>
      </c>
      <c r="V151" s="6">
        <f t="shared" si="16"/>
        <v>0.45454545454545453</v>
      </c>
      <c r="W151" s="6">
        <f t="shared" si="28"/>
        <v>0.49019607843137253</v>
      </c>
      <c r="X151" s="3">
        <f t="shared" si="10"/>
        <v>0</v>
      </c>
      <c r="Y151" s="3">
        <f t="shared" si="11"/>
        <v>0</v>
      </c>
      <c r="Z151" s="10">
        <f t="shared" si="12"/>
        <v>0</v>
      </c>
      <c r="AA151" s="13">
        <f t="shared" si="13"/>
        <v>0</v>
      </c>
    </row>
    <row r="152" spans="1:27" ht="14.25">
      <c r="A152" s="3">
        <f t="shared" si="19"/>
        <v>150</v>
      </c>
      <c r="B152" s="29">
        <f t="shared" si="20"/>
        <v>42590</v>
      </c>
      <c r="C152" s="5">
        <f>46/70</f>
        <v>0.6571428571428571</v>
      </c>
      <c r="D152" s="5">
        <f t="shared" si="27"/>
        <v>0.34285714285714286</v>
      </c>
      <c r="E152" s="6">
        <f t="shared" si="1"/>
        <v>0.3142857142857143</v>
      </c>
      <c r="F152" s="5">
        <v>0.6829000000000001</v>
      </c>
      <c r="G152" s="5">
        <v>0.7011</v>
      </c>
      <c r="H152" s="5">
        <v>0.6479</v>
      </c>
      <c r="I152" s="6">
        <f t="shared" si="2"/>
        <v>0.053199999999999914</v>
      </c>
      <c r="J152" s="6">
        <f t="shared" si="29"/>
        <v>0</v>
      </c>
      <c r="K152" s="8">
        <v>0.56</v>
      </c>
      <c r="L152" s="9" t="s">
        <v>28</v>
      </c>
      <c r="M152" s="3">
        <f t="shared" si="4"/>
        <v>0</v>
      </c>
      <c r="N152" s="30">
        <f t="shared" si="30"/>
        <v>0</v>
      </c>
      <c r="O152" s="3">
        <f t="shared" si="31"/>
        <v>1</v>
      </c>
      <c r="P152" s="10">
        <f t="shared" si="7"/>
        <v>1</v>
      </c>
      <c r="Q152" s="6">
        <f t="shared" si="14"/>
        <v>0.4931506849315068</v>
      </c>
      <c r="R152" s="11">
        <v>2183.76</v>
      </c>
      <c r="S152" s="11">
        <v>2184.05</v>
      </c>
      <c r="T152" s="12">
        <f t="shared" si="8"/>
        <v>0.2899999999999636</v>
      </c>
      <c r="U152" s="13">
        <f t="shared" si="9"/>
        <v>0.00013279847602298952</v>
      </c>
      <c r="V152" s="6">
        <f t="shared" si="16"/>
        <v>0.5454545454545454</v>
      </c>
      <c r="W152" s="6">
        <f t="shared" si="28"/>
        <v>0.5098039215686274</v>
      </c>
      <c r="X152" s="3">
        <f t="shared" si="10"/>
        <v>1</v>
      </c>
      <c r="Y152" s="3">
        <f t="shared" si="11"/>
        <v>0</v>
      </c>
      <c r="Z152" s="10">
        <f t="shared" si="12"/>
        <v>0</v>
      </c>
      <c r="AA152" s="13">
        <f t="shared" si="13"/>
        <v>0</v>
      </c>
    </row>
    <row r="153" spans="1:27" ht="14.25">
      <c r="A153" s="3">
        <f t="shared" si="19"/>
        <v>151</v>
      </c>
      <c r="B153" s="29">
        <f t="shared" si="20"/>
        <v>42597</v>
      </c>
      <c r="C153" s="5">
        <f>25/56</f>
        <v>0.44642857142857145</v>
      </c>
      <c r="D153" s="5">
        <f t="shared" si="27"/>
        <v>0.5535714285714286</v>
      </c>
      <c r="E153" s="6">
        <f t="shared" si="1"/>
        <v>-0.10714285714285715</v>
      </c>
      <c r="F153" s="5">
        <v>0.6446</v>
      </c>
      <c r="G153" s="5">
        <v>0.64</v>
      </c>
      <c r="H153" s="5">
        <v>0.6484000000000001</v>
      </c>
      <c r="I153" s="6">
        <f t="shared" si="2"/>
        <v>-0.008400000000000074</v>
      </c>
      <c r="J153" s="6">
        <f t="shared" si="29"/>
        <v>0</v>
      </c>
      <c r="K153" s="8">
        <v>0.53</v>
      </c>
      <c r="L153" s="9" t="s">
        <v>28</v>
      </c>
      <c r="M153" s="3">
        <f t="shared" si="4"/>
        <v>0</v>
      </c>
      <c r="N153" s="30">
        <f t="shared" si="30"/>
        <v>0</v>
      </c>
      <c r="O153" s="3">
        <f t="shared" si="31"/>
        <v>1</v>
      </c>
      <c r="P153" s="10">
        <f t="shared" si="7"/>
        <v>0</v>
      </c>
      <c r="Q153" s="6">
        <f t="shared" si="14"/>
        <v>0.4965986394557823</v>
      </c>
      <c r="R153" s="11">
        <v>2186.08</v>
      </c>
      <c r="S153" s="11">
        <v>2183.87</v>
      </c>
      <c r="T153" s="12">
        <f t="shared" si="8"/>
        <v>-2.2100000000000364</v>
      </c>
      <c r="U153" s="13">
        <f t="shared" si="9"/>
        <v>-0.0010109419600380757</v>
      </c>
      <c r="V153" s="6">
        <f t="shared" si="16"/>
        <v>0.5454545454545454</v>
      </c>
      <c r="W153" s="6">
        <f t="shared" si="28"/>
        <v>0.5294117647058824</v>
      </c>
      <c r="X153" s="3">
        <f t="shared" si="10"/>
        <v>0</v>
      </c>
      <c r="Y153" s="3">
        <f t="shared" si="11"/>
        <v>1</v>
      </c>
      <c r="Z153" s="10">
        <f t="shared" si="12"/>
        <v>0</v>
      </c>
      <c r="AA153" s="13">
        <f t="shared" si="13"/>
        <v>0</v>
      </c>
    </row>
    <row r="154" spans="1:27" ht="14.25">
      <c r="A154" s="3">
        <f t="shared" si="19"/>
        <v>152</v>
      </c>
      <c r="B154" s="29">
        <f t="shared" si="20"/>
        <v>42604</v>
      </c>
      <c r="C154" s="5">
        <f>31/70</f>
        <v>0.44285714285714284</v>
      </c>
      <c r="D154" s="5">
        <f t="shared" si="27"/>
        <v>0.5571428571428572</v>
      </c>
      <c r="E154" s="6">
        <f t="shared" si="1"/>
        <v>-0.11428571428571432</v>
      </c>
      <c r="F154" s="5">
        <v>0.6843</v>
      </c>
      <c r="G154" s="5">
        <v>0.679</v>
      </c>
      <c r="H154" s="5">
        <v>0.6884999999999999</v>
      </c>
      <c r="I154" s="6">
        <f t="shared" si="2"/>
        <v>-0.009499999999999842</v>
      </c>
      <c r="J154" s="6">
        <f t="shared" si="29"/>
        <v>0</v>
      </c>
      <c r="K154" s="8">
        <v>0.56</v>
      </c>
      <c r="L154" s="9" t="s">
        <v>28</v>
      </c>
      <c r="M154" s="3">
        <f t="shared" si="4"/>
        <v>0</v>
      </c>
      <c r="N154" s="30">
        <f t="shared" si="30"/>
        <v>0</v>
      </c>
      <c r="O154" s="3">
        <f t="shared" si="31"/>
        <v>1</v>
      </c>
      <c r="P154" s="10">
        <f t="shared" si="7"/>
        <v>0</v>
      </c>
      <c r="Q154" s="6">
        <f t="shared" si="14"/>
        <v>0.5</v>
      </c>
      <c r="R154" s="11">
        <v>2181.58</v>
      </c>
      <c r="S154" s="11">
        <v>2169.04</v>
      </c>
      <c r="T154" s="12">
        <f t="shared" si="8"/>
        <v>-12.539999999999964</v>
      </c>
      <c r="U154" s="13">
        <f t="shared" si="9"/>
        <v>-0.005748127503919161</v>
      </c>
      <c r="V154" s="6">
        <f t="shared" si="16"/>
        <v>0.5454545454545454</v>
      </c>
      <c r="W154" s="6">
        <f t="shared" si="28"/>
        <v>0.5294117647058824</v>
      </c>
      <c r="X154" s="3">
        <f t="shared" si="10"/>
        <v>0</v>
      </c>
      <c r="Y154" s="3">
        <f t="shared" si="11"/>
        <v>1</v>
      </c>
      <c r="Z154" s="10">
        <f t="shared" si="12"/>
        <v>0</v>
      </c>
      <c r="AA154" s="13">
        <f t="shared" si="13"/>
        <v>0</v>
      </c>
    </row>
    <row r="155" spans="1:27" ht="14.25">
      <c r="A155" s="3">
        <f t="shared" si="19"/>
        <v>153</v>
      </c>
      <c r="B155" s="29">
        <f t="shared" si="20"/>
        <v>42611</v>
      </c>
      <c r="C155" s="5">
        <f>19/52</f>
        <v>0.36538461538461536</v>
      </c>
      <c r="D155" s="5">
        <f t="shared" si="27"/>
        <v>0.6346153846153846</v>
      </c>
      <c r="E155" s="6">
        <f t="shared" si="1"/>
        <v>-0.2692307692307692</v>
      </c>
      <c r="F155" s="5">
        <v>0.6686</v>
      </c>
      <c r="G155" s="5">
        <v>0.6289</v>
      </c>
      <c r="H155" s="5">
        <v>0.6922</v>
      </c>
      <c r="I155" s="6">
        <f t="shared" si="2"/>
        <v>-0.06330000000000002</v>
      </c>
      <c r="J155" s="6">
        <f t="shared" si="29"/>
        <v>0</v>
      </c>
      <c r="K155" s="8">
        <v>0.62</v>
      </c>
      <c r="L155" s="9" t="s">
        <v>28</v>
      </c>
      <c r="M155" s="3">
        <f t="shared" si="4"/>
        <v>0</v>
      </c>
      <c r="N155" s="30">
        <f t="shared" si="30"/>
        <v>0</v>
      </c>
      <c r="O155" s="3">
        <f t="shared" si="31"/>
        <v>0</v>
      </c>
      <c r="P155" s="10">
        <f t="shared" si="7"/>
        <v>1</v>
      </c>
      <c r="Q155" s="6">
        <f t="shared" si="14"/>
        <v>0.4966442953020134</v>
      </c>
      <c r="R155" s="11">
        <v>2170.19</v>
      </c>
      <c r="S155" s="11">
        <v>2179.98</v>
      </c>
      <c r="T155" s="12">
        <f t="shared" si="8"/>
        <v>9.789999999999964</v>
      </c>
      <c r="U155" s="13">
        <f t="shared" si="9"/>
        <v>0.004511125753966226</v>
      </c>
      <c r="V155" s="6">
        <f t="shared" si="16"/>
        <v>0.45454545454545453</v>
      </c>
      <c r="W155" s="6">
        <f t="shared" si="28"/>
        <v>0.5294117647058824</v>
      </c>
      <c r="X155" s="3">
        <f t="shared" si="10"/>
        <v>0</v>
      </c>
      <c r="Y155" s="3">
        <f t="shared" si="11"/>
        <v>1</v>
      </c>
      <c r="Z155" s="10">
        <f t="shared" si="12"/>
        <v>0</v>
      </c>
      <c r="AA155" s="13">
        <f t="shared" si="13"/>
        <v>0</v>
      </c>
    </row>
    <row r="156" spans="1:27" ht="14.25">
      <c r="A156" s="3">
        <f t="shared" si="19"/>
        <v>154</v>
      </c>
      <c r="B156" s="29">
        <f t="shared" si="20"/>
        <v>42618</v>
      </c>
      <c r="C156" s="5">
        <f>36/55</f>
        <v>0.6545454545454545</v>
      </c>
      <c r="D156" s="5">
        <f t="shared" si="27"/>
        <v>0.34545454545454546</v>
      </c>
      <c r="E156" s="6">
        <f t="shared" si="1"/>
        <v>0.3090909090909091</v>
      </c>
      <c r="F156" s="5">
        <v>0.6818000000000001</v>
      </c>
      <c r="G156" s="5">
        <v>0.6708</v>
      </c>
      <c r="H156" s="5">
        <v>0.7026</v>
      </c>
      <c r="I156" s="6">
        <f t="shared" si="2"/>
        <v>-0.03180000000000005</v>
      </c>
      <c r="J156" s="6">
        <f t="shared" si="29"/>
        <v>0</v>
      </c>
      <c r="K156" s="8">
        <v>0.67</v>
      </c>
      <c r="L156" s="9" t="s">
        <v>5</v>
      </c>
      <c r="M156" s="3">
        <f t="shared" si="4"/>
        <v>0</v>
      </c>
      <c r="N156" s="30">
        <f t="shared" si="30"/>
        <v>0</v>
      </c>
      <c r="O156" s="3">
        <f t="shared" si="31"/>
        <v>0</v>
      </c>
      <c r="P156" s="10">
        <f t="shared" si="7"/>
        <v>0</v>
      </c>
      <c r="Q156" s="6">
        <f t="shared" si="14"/>
        <v>0.49333333333333335</v>
      </c>
      <c r="R156" s="11">
        <v>2181.61</v>
      </c>
      <c r="S156" s="11">
        <v>2127.81</v>
      </c>
      <c r="T156" s="12">
        <f t="shared" si="8"/>
        <v>-53.80000000000018</v>
      </c>
      <c r="U156" s="13">
        <f t="shared" si="9"/>
        <v>-0.024660686373824917</v>
      </c>
      <c r="V156" s="6">
        <f t="shared" si="16"/>
        <v>0.36363636363636365</v>
      </c>
      <c r="W156" s="6">
        <f t="shared" si="28"/>
        <v>0.5098039215686274</v>
      </c>
      <c r="X156" s="3">
        <f t="shared" si="10"/>
        <v>1</v>
      </c>
      <c r="Y156" s="3">
        <f t="shared" si="11"/>
        <v>1</v>
      </c>
      <c r="Z156" s="10">
        <f t="shared" si="12"/>
        <v>0</v>
      </c>
      <c r="AA156" s="13">
        <f t="shared" si="13"/>
        <v>-0.024660686373824917</v>
      </c>
    </row>
    <row r="157" spans="1:27" ht="14.25">
      <c r="A157" s="3">
        <f t="shared" si="19"/>
        <v>155</v>
      </c>
      <c r="B157" s="29">
        <f t="shared" si="20"/>
        <v>42625</v>
      </c>
      <c r="C157" s="5">
        <f>28/71</f>
        <v>0.39436619718309857</v>
      </c>
      <c r="D157" s="5">
        <f t="shared" si="27"/>
        <v>0.6056338028169015</v>
      </c>
      <c r="E157" s="6">
        <f t="shared" si="1"/>
        <v>-0.21126760563380292</v>
      </c>
      <c r="F157" s="5">
        <v>0.6845</v>
      </c>
      <c r="G157" s="5">
        <v>0.6446</v>
      </c>
      <c r="H157" s="5">
        <v>0.7105</v>
      </c>
      <c r="I157" s="6">
        <f t="shared" si="2"/>
        <v>-0.06590000000000007</v>
      </c>
      <c r="J157" s="6">
        <f t="shared" si="29"/>
        <v>0</v>
      </c>
      <c r="K157" s="8">
        <v>0.63</v>
      </c>
      <c r="L157" s="9" t="s">
        <v>28</v>
      </c>
      <c r="M157" s="3">
        <f t="shared" si="4"/>
        <v>0</v>
      </c>
      <c r="N157" s="30">
        <f t="shared" si="30"/>
        <v>0</v>
      </c>
      <c r="O157" s="3">
        <f t="shared" si="31"/>
        <v>0</v>
      </c>
      <c r="P157" s="10">
        <f t="shared" si="7"/>
        <v>1</v>
      </c>
      <c r="Q157" s="6">
        <f t="shared" si="14"/>
        <v>0.4900662251655629</v>
      </c>
      <c r="R157" s="11">
        <v>2120.86</v>
      </c>
      <c r="S157" s="11">
        <v>2139.16</v>
      </c>
      <c r="T157" s="12">
        <f t="shared" si="8"/>
        <v>18.299999999999727</v>
      </c>
      <c r="U157" s="13">
        <f t="shared" si="9"/>
        <v>0.008628575200626033</v>
      </c>
      <c r="V157" s="6">
        <f t="shared" si="16"/>
        <v>0.36363636363636365</v>
      </c>
      <c r="W157" s="6">
        <f t="shared" si="28"/>
        <v>0.49019607843137253</v>
      </c>
      <c r="X157" s="3">
        <f t="shared" si="10"/>
        <v>0</v>
      </c>
      <c r="Y157" s="3">
        <f t="shared" si="11"/>
        <v>1</v>
      </c>
      <c r="Z157" s="10">
        <f t="shared" si="12"/>
        <v>0</v>
      </c>
      <c r="AA157" s="13">
        <f t="shared" si="13"/>
        <v>0</v>
      </c>
    </row>
    <row r="158" spans="1:27" ht="14.25">
      <c r="A158" s="3">
        <f t="shared" si="19"/>
        <v>156</v>
      </c>
      <c r="B158" s="29">
        <f t="shared" si="20"/>
        <v>42632</v>
      </c>
      <c r="C158" s="5">
        <f>23/51</f>
        <v>0.45098039215686275</v>
      </c>
      <c r="D158" s="5">
        <f t="shared" si="27"/>
        <v>0.5490196078431373</v>
      </c>
      <c r="E158" s="6">
        <f t="shared" si="1"/>
        <v>-0.09803921568627455</v>
      </c>
      <c r="F158" s="5">
        <v>0.7108</v>
      </c>
      <c r="G158" s="5">
        <v>0.6934999999999999</v>
      </c>
      <c r="H158" s="5">
        <v>0.725</v>
      </c>
      <c r="I158" s="6">
        <f t="shared" si="2"/>
        <v>-0.031500000000000083</v>
      </c>
      <c r="J158" s="6">
        <f t="shared" si="29"/>
        <v>0</v>
      </c>
      <c r="K158" s="8">
        <v>0.69</v>
      </c>
      <c r="L158" s="9" t="s">
        <v>5</v>
      </c>
      <c r="M158" s="3">
        <f t="shared" si="4"/>
        <v>0</v>
      </c>
      <c r="N158" s="30">
        <f t="shared" si="30"/>
        <v>0</v>
      </c>
      <c r="O158" s="3">
        <f t="shared" si="31"/>
        <v>0</v>
      </c>
      <c r="P158" s="10">
        <f t="shared" si="7"/>
        <v>1</v>
      </c>
      <c r="Q158" s="6">
        <f t="shared" si="14"/>
        <v>0.4868421052631579</v>
      </c>
      <c r="R158" s="11">
        <v>2143.99</v>
      </c>
      <c r="S158" s="11">
        <v>2164.69</v>
      </c>
      <c r="T158" s="12">
        <f t="shared" si="8"/>
        <v>20.700000000000273</v>
      </c>
      <c r="U158" s="13">
        <f t="shared" si="9"/>
        <v>0.00965489577843193</v>
      </c>
      <c r="V158" s="6">
        <f t="shared" si="16"/>
        <v>0.36363636363636365</v>
      </c>
      <c r="W158" s="6">
        <f t="shared" si="28"/>
        <v>0.47058823529411764</v>
      </c>
      <c r="X158" s="3">
        <f t="shared" si="10"/>
        <v>0</v>
      </c>
      <c r="Y158" s="3">
        <f t="shared" si="11"/>
        <v>1</v>
      </c>
      <c r="Z158" s="10">
        <f t="shared" si="12"/>
        <v>0</v>
      </c>
      <c r="AA158" s="13">
        <f t="shared" si="13"/>
        <v>0</v>
      </c>
    </row>
    <row r="159" spans="1:27" ht="14.25">
      <c r="A159" s="3">
        <f t="shared" si="19"/>
        <v>157</v>
      </c>
      <c r="B159" s="29">
        <f t="shared" si="20"/>
        <v>42639</v>
      </c>
      <c r="C159" s="5">
        <f>32/68</f>
        <v>0.47058823529411764</v>
      </c>
      <c r="D159" s="5">
        <f t="shared" si="27"/>
        <v>0.5294117647058824</v>
      </c>
      <c r="E159" s="6">
        <f t="shared" si="1"/>
        <v>-0.05882352941176472</v>
      </c>
      <c r="F159" s="5">
        <v>0.6912</v>
      </c>
      <c r="G159" s="5">
        <v>0.7172</v>
      </c>
      <c r="H159" s="5">
        <v>0.6681</v>
      </c>
      <c r="I159" s="6">
        <f t="shared" si="2"/>
        <v>0.04909999999999992</v>
      </c>
      <c r="J159" s="6">
        <f t="shared" si="29"/>
        <v>0</v>
      </c>
      <c r="K159" s="8">
        <v>0.54</v>
      </c>
      <c r="L159" s="9" t="s">
        <v>5</v>
      </c>
      <c r="M159" s="3">
        <f t="shared" si="4"/>
        <v>0</v>
      </c>
      <c r="N159" s="30">
        <f t="shared" si="30"/>
        <v>0</v>
      </c>
      <c r="O159" s="3">
        <f t="shared" si="31"/>
        <v>0</v>
      </c>
      <c r="P159" s="10">
        <f t="shared" si="7"/>
        <v>1</v>
      </c>
      <c r="Q159" s="6">
        <f t="shared" si="14"/>
        <v>0.48366013071895425</v>
      </c>
      <c r="R159" s="11">
        <v>2158.54</v>
      </c>
      <c r="S159" s="11">
        <v>2168.27</v>
      </c>
      <c r="T159" s="12">
        <f t="shared" si="8"/>
        <v>9.730000000000018</v>
      </c>
      <c r="U159" s="13">
        <f t="shared" si="9"/>
        <v>0.004507676485031558</v>
      </c>
      <c r="V159" s="6">
        <f t="shared" si="16"/>
        <v>0.2727272727272727</v>
      </c>
      <c r="W159" s="6">
        <f t="shared" si="28"/>
        <v>0.45098039215686275</v>
      </c>
      <c r="X159" s="3">
        <f t="shared" si="10"/>
        <v>0</v>
      </c>
      <c r="Y159" s="3">
        <f t="shared" si="11"/>
        <v>0</v>
      </c>
      <c r="Z159" s="10">
        <f t="shared" si="12"/>
        <v>0</v>
      </c>
      <c r="AA159" s="13">
        <f t="shared" si="13"/>
        <v>0</v>
      </c>
    </row>
    <row r="160" spans="1:27" ht="14.25">
      <c r="A160" s="3">
        <f t="shared" si="19"/>
        <v>158</v>
      </c>
      <c r="B160" s="29">
        <f t="shared" si="20"/>
        <v>42646</v>
      </c>
      <c r="C160" s="5">
        <f>28/59</f>
        <v>0.4745762711864407</v>
      </c>
      <c r="D160" s="5">
        <f t="shared" si="27"/>
        <v>0.5254237288135593</v>
      </c>
      <c r="E160" s="6">
        <f t="shared" si="1"/>
        <v>-0.050847457627118564</v>
      </c>
      <c r="F160" s="5">
        <v>0.7068000000000001</v>
      </c>
      <c r="G160" s="5">
        <v>0.725</v>
      </c>
      <c r="H160" s="5">
        <v>0.6903</v>
      </c>
      <c r="I160" s="6">
        <f t="shared" si="2"/>
        <v>0.03469999999999995</v>
      </c>
      <c r="J160" s="6">
        <f t="shared" si="29"/>
        <v>0</v>
      </c>
      <c r="K160" s="8">
        <v>0.57</v>
      </c>
      <c r="L160" s="9" t="s">
        <v>5</v>
      </c>
      <c r="M160" s="3">
        <f t="shared" si="4"/>
        <v>0</v>
      </c>
      <c r="N160" s="30">
        <f t="shared" si="30"/>
        <v>0</v>
      </c>
      <c r="O160" s="3">
        <f t="shared" si="31"/>
        <v>1</v>
      </c>
      <c r="P160" s="10">
        <f t="shared" si="7"/>
        <v>0</v>
      </c>
      <c r="Q160" s="6">
        <f t="shared" si="14"/>
        <v>0.487012987012987</v>
      </c>
      <c r="R160" s="11">
        <v>2164.33</v>
      </c>
      <c r="S160" s="11">
        <v>2153.74</v>
      </c>
      <c r="T160" s="12">
        <f t="shared" si="8"/>
        <v>-10.590000000000146</v>
      </c>
      <c r="U160" s="13">
        <f t="shared" si="9"/>
        <v>-0.004892969186769183</v>
      </c>
      <c r="V160" s="6">
        <f t="shared" si="16"/>
        <v>0.36363636363636365</v>
      </c>
      <c r="W160" s="6">
        <f t="shared" si="28"/>
        <v>0.47058823529411764</v>
      </c>
      <c r="X160" s="3">
        <f t="shared" si="10"/>
        <v>0</v>
      </c>
      <c r="Y160" s="3">
        <f t="shared" si="11"/>
        <v>0</v>
      </c>
      <c r="Z160" s="10">
        <f t="shared" si="12"/>
        <v>0</v>
      </c>
      <c r="AA160" s="13">
        <f t="shared" si="13"/>
        <v>0</v>
      </c>
    </row>
    <row r="161" spans="1:27" ht="14.25">
      <c r="A161" s="3">
        <f t="shared" si="19"/>
        <v>159</v>
      </c>
      <c r="B161" s="29">
        <f t="shared" si="20"/>
        <v>42653</v>
      </c>
      <c r="C161" s="5">
        <f>21/43</f>
        <v>0.4883720930232558</v>
      </c>
      <c r="D161" s="5">
        <f t="shared" si="27"/>
        <v>0.5116279069767442</v>
      </c>
      <c r="E161" s="6">
        <f t="shared" si="1"/>
        <v>-0.023255813953488413</v>
      </c>
      <c r="F161" s="5">
        <v>0.6557999999999999</v>
      </c>
      <c r="G161" s="5">
        <v>0.6570999999999999</v>
      </c>
      <c r="H161" s="5">
        <v>0.6545000000000001</v>
      </c>
      <c r="I161" s="6">
        <f t="shared" si="2"/>
        <v>0.0025999999999998247</v>
      </c>
      <c r="J161" s="6">
        <f t="shared" si="29"/>
        <v>0</v>
      </c>
      <c r="K161" s="8">
        <v>0.53</v>
      </c>
      <c r="L161" s="9" t="s">
        <v>5</v>
      </c>
      <c r="M161" s="3">
        <f t="shared" si="4"/>
        <v>0</v>
      </c>
      <c r="N161" s="30">
        <f t="shared" si="30"/>
        <v>0</v>
      </c>
      <c r="O161" s="3">
        <f t="shared" si="31"/>
        <v>1</v>
      </c>
      <c r="P161" s="10">
        <f t="shared" si="7"/>
        <v>0</v>
      </c>
      <c r="Q161" s="6">
        <f t="shared" si="14"/>
        <v>0.49032258064516127</v>
      </c>
      <c r="R161" s="11">
        <v>2160.39</v>
      </c>
      <c r="S161" s="11">
        <v>2132.98</v>
      </c>
      <c r="T161" s="12">
        <f t="shared" si="8"/>
        <v>-27.409999999999854</v>
      </c>
      <c r="U161" s="13">
        <f t="shared" si="9"/>
        <v>-0.012687524011868161</v>
      </c>
      <c r="V161" s="6">
        <f t="shared" si="16"/>
        <v>0.45454545454545453</v>
      </c>
      <c r="W161" s="6">
        <f t="shared" si="28"/>
        <v>0.47058823529411764</v>
      </c>
      <c r="X161" s="3">
        <f t="shared" si="10"/>
        <v>0</v>
      </c>
      <c r="Y161" s="3">
        <f t="shared" si="11"/>
        <v>0</v>
      </c>
      <c r="Z161" s="10">
        <f t="shared" si="12"/>
        <v>0</v>
      </c>
      <c r="AA161" s="13">
        <f t="shared" si="13"/>
        <v>0</v>
      </c>
    </row>
    <row r="162" spans="1:27" ht="14.25">
      <c r="A162" s="3">
        <f t="shared" si="19"/>
        <v>160</v>
      </c>
      <c r="B162" s="29">
        <f t="shared" si="20"/>
        <v>42660</v>
      </c>
      <c r="C162" s="5">
        <f>27/77</f>
        <v>0.35064935064935066</v>
      </c>
      <c r="D162" s="5">
        <f t="shared" si="27"/>
        <v>0.6493506493506493</v>
      </c>
      <c r="E162" s="6">
        <f t="shared" si="1"/>
        <v>-0.2987012987012987</v>
      </c>
      <c r="F162" s="5">
        <v>0.6805</v>
      </c>
      <c r="G162" s="5">
        <v>0.6833</v>
      </c>
      <c r="H162" s="5">
        <v>0.679</v>
      </c>
      <c r="I162" s="6">
        <f t="shared" si="2"/>
        <v>0.0042999999999999705</v>
      </c>
      <c r="J162" s="6">
        <f t="shared" si="29"/>
        <v>0</v>
      </c>
      <c r="K162" s="8">
        <v>0.7</v>
      </c>
      <c r="L162" s="9" t="s">
        <v>5</v>
      </c>
      <c r="M162" s="3">
        <f t="shared" si="4"/>
        <v>0</v>
      </c>
      <c r="N162" s="30">
        <f t="shared" si="30"/>
        <v>0</v>
      </c>
      <c r="O162" s="3">
        <f t="shared" si="31"/>
        <v>0</v>
      </c>
      <c r="P162" s="10">
        <f t="shared" si="7"/>
        <v>1</v>
      </c>
      <c r="Q162" s="6">
        <f t="shared" si="14"/>
        <v>0.48717948717948717</v>
      </c>
      <c r="R162" s="11">
        <v>2132.95</v>
      </c>
      <c r="S162" s="11">
        <v>2141.16</v>
      </c>
      <c r="T162" s="12">
        <f t="shared" si="8"/>
        <v>8.210000000000036</v>
      </c>
      <c r="U162" s="13">
        <f t="shared" si="9"/>
        <v>0.003849129140392432</v>
      </c>
      <c r="V162" s="6">
        <f t="shared" si="16"/>
        <v>0.45454545454545453</v>
      </c>
      <c r="W162" s="6">
        <f t="shared" si="28"/>
        <v>0.45098039215686275</v>
      </c>
      <c r="X162" s="3">
        <f t="shared" si="10"/>
        <v>0</v>
      </c>
      <c r="Y162" s="3">
        <f t="shared" si="11"/>
        <v>0</v>
      </c>
      <c r="Z162" s="10">
        <f t="shared" si="12"/>
        <v>0</v>
      </c>
      <c r="AA162" s="13">
        <f t="shared" si="13"/>
        <v>0</v>
      </c>
    </row>
    <row r="163" spans="1:27" ht="14.25">
      <c r="A163" s="3">
        <f t="shared" si="19"/>
        <v>161</v>
      </c>
      <c r="B163" s="29">
        <f t="shared" si="20"/>
        <v>42667</v>
      </c>
      <c r="C163" s="5">
        <f>29/59</f>
        <v>0.4915254237288136</v>
      </c>
      <c r="D163" s="5">
        <f t="shared" si="27"/>
        <v>0.5084745762711864</v>
      </c>
      <c r="E163" s="6">
        <f t="shared" si="1"/>
        <v>-0.016949152542372836</v>
      </c>
      <c r="F163" s="5">
        <v>0.6593000000000001</v>
      </c>
      <c r="G163" s="5">
        <v>0.6534</v>
      </c>
      <c r="H163" s="5">
        <v>0.665</v>
      </c>
      <c r="I163" s="6">
        <f t="shared" si="2"/>
        <v>-0.011600000000000055</v>
      </c>
      <c r="J163" s="6">
        <f t="shared" si="29"/>
        <v>0</v>
      </c>
      <c r="K163" s="8">
        <v>0.71</v>
      </c>
      <c r="L163" s="9" t="s">
        <v>5</v>
      </c>
      <c r="M163" s="3">
        <f t="shared" si="4"/>
        <v>0</v>
      </c>
      <c r="N163" s="30">
        <f t="shared" si="30"/>
        <v>0</v>
      </c>
      <c r="O163" s="3">
        <f t="shared" si="31"/>
        <v>1</v>
      </c>
      <c r="P163" s="10">
        <f t="shared" si="7"/>
        <v>0</v>
      </c>
      <c r="Q163" s="6">
        <f t="shared" si="14"/>
        <v>0.49044585987261147</v>
      </c>
      <c r="R163" s="11">
        <v>2148.5</v>
      </c>
      <c r="S163" s="11">
        <v>2126.41</v>
      </c>
      <c r="T163" s="12">
        <f t="shared" si="8"/>
        <v>-22.090000000000146</v>
      </c>
      <c r="U163" s="13">
        <f t="shared" si="9"/>
        <v>-0.010281591808238373</v>
      </c>
      <c r="V163" s="6">
        <f t="shared" si="16"/>
        <v>0.45454545454545453</v>
      </c>
      <c r="W163" s="6">
        <f t="shared" si="28"/>
        <v>0.47058823529411764</v>
      </c>
      <c r="X163" s="3">
        <f t="shared" si="10"/>
        <v>0</v>
      </c>
      <c r="Y163" s="3">
        <f t="shared" si="11"/>
        <v>1</v>
      </c>
      <c r="Z163" s="10">
        <f t="shared" si="12"/>
        <v>0</v>
      </c>
      <c r="AA163" s="13">
        <f t="shared" si="13"/>
        <v>0</v>
      </c>
    </row>
    <row r="164" spans="1:27" ht="14.25">
      <c r="A164" s="3">
        <f t="shared" si="19"/>
        <v>162</v>
      </c>
      <c r="B164" s="29">
        <f t="shared" si="20"/>
        <v>42674</v>
      </c>
      <c r="C164" s="5">
        <f>40/87</f>
        <v>0.45977011494252873</v>
      </c>
      <c r="D164" s="5">
        <f t="shared" si="27"/>
        <v>0.5402298850574713</v>
      </c>
      <c r="E164" s="6">
        <f t="shared" si="1"/>
        <v>-0.08045977011494254</v>
      </c>
      <c r="F164" s="5">
        <v>0.696</v>
      </c>
      <c r="G164" s="5">
        <v>0.6725</v>
      </c>
      <c r="H164" s="5">
        <v>0.716</v>
      </c>
      <c r="I164" s="6">
        <f t="shared" si="2"/>
        <v>-0.04349999999999998</v>
      </c>
      <c r="J164" s="6">
        <f t="shared" si="29"/>
        <v>0</v>
      </c>
      <c r="K164" s="8">
        <v>0.67</v>
      </c>
      <c r="L164" s="9" t="s">
        <v>5</v>
      </c>
      <c r="M164" s="3">
        <f t="shared" si="4"/>
        <v>0</v>
      </c>
      <c r="N164" s="30">
        <f t="shared" si="30"/>
        <v>0</v>
      </c>
      <c r="O164" s="3">
        <f t="shared" si="31"/>
        <v>1</v>
      </c>
      <c r="P164" s="10">
        <f t="shared" si="7"/>
        <v>0</v>
      </c>
      <c r="Q164" s="6">
        <f t="shared" si="14"/>
        <v>0.4936708860759494</v>
      </c>
      <c r="R164" s="11">
        <v>2129.78</v>
      </c>
      <c r="S164" s="11">
        <v>2085.18</v>
      </c>
      <c r="T164" s="12">
        <f t="shared" si="8"/>
        <v>-44.600000000000364</v>
      </c>
      <c r="U164" s="13">
        <f t="shared" si="9"/>
        <v>-0.020941130069772634</v>
      </c>
      <c r="V164" s="6">
        <f t="shared" si="16"/>
        <v>0.45454545454545453</v>
      </c>
      <c r="W164" s="6">
        <f t="shared" si="28"/>
        <v>0.49019607843137253</v>
      </c>
      <c r="X164" s="3">
        <f t="shared" si="10"/>
        <v>0</v>
      </c>
      <c r="Y164" s="3">
        <f t="shared" si="11"/>
        <v>1</v>
      </c>
      <c r="Z164" s="10">
        <f t="shared" si="12"/>
        <v>0</v>
      </c>
      <c r="AA164" s="13">
        <f t="shared" si="13"/>
        <v>0</v>
      </c>
    </row>
    <row r="165" spans="1:27" ht="14.25">
      <c r="A165" s="3">
        <v>163</v>
      </c>
      <c r="B165" s="29">
        <f t="shared" si="20"/>
        <v>42681</v>
      </c>
      <c r="C165" s="5">
        <f>33/67</f>
        <v>0.4925373134328358</v>
      </c>
      <c r="D165" s="5">
        <f t="shared" si="27"/>
        <v>0.5074626865671642</v>
      </c>
      <c r="E165" s="6">
        <f t="shared" si="1"/>
        <v>-0.014925373134328401</v>
      </c>
      <c r="F165" s="5">
        <v>0.706</v>
      </c>
      <c r="G165" s="5">
        <v>0.6818000000000001</v>
      </c>
      <c r="H165" s="5">
        <v>0.7293999999999999</v>
      </c>
      <c r="I165" s="6">
        <f t="shared" si="2"/>
        <v>-0.047599999999999865</v>
      </c>
      <c r="J165" s="6">
        <f t="shared" si="29"/>
        <v>0</v>
      </c>
      <c r="K165" s="8">
        <v>0.63</v>
      </c>
      <c r="L165" s="9" t="s">
        <v>5</v>
      </c>
      <c r="M165" s="3">
        <f t="shared" si="4"/>
        <v>0</v>
      </c>
      <c r="N165" s="30">
        <f t="shared" si="30"/>
        <v>0</v>
      </c>
      <c r="O165" s="3">
        <f t="shared" si="31"/>
        <v>0</v>
      </c>
      <c r="P165" s="10">
        <f t="shared" si="7"/>
        <v>1</v>
      </c>
      <c r="Q165" s="6">
        <f t="shared" si="14"/>
        <v>0.49056603773584906</v>
      </c>
      <c r="R165" s="11">
        <v>2100.59</v>
      </c>
      <c r="S165" s="11">
        <v>2164.45</v>
      </c>
      <c r="T165" s="12">
        <f t="shared" si="8"/>
        <v>63.85999999999967</v>
      </c>
      <c r="U165" s="13">
        <f t="shared" si="9"/>
        <v>0.030400982581084205</v>
      </c>
      <c r="V165" s="6">
        <f t="shared" si="16"/>
        <v>0.36363636363636365</v>
      </c>
      <c r="W165" s="6">
        <f t="shared" si="28"/>
        <v>0.49019607843137253</v>
      </c>
      <c r="X165" s="3">
        <f t="shared" si="10"/>
        <v>0</v>
      </c>
      <c r="Y165" s="3">
        <f t="shared" si="11"/>
        <v>1</v>
      </c>
      <c r="Z165" s="10">
        <f t="shared" si="12"/>
        <v>0</v>
      </c>
      <c r="AA165" s="13">
        <f t="shared" si="13"/>
        <v>0</v>
      </c>
    </row>
    <row r="166" spans="1:27" ht="14.25">
      <c r="A166" s="3">
        <v>164</v>
      </c>
      <c r="B166" s="29">
        <f t="shared" si="20"/>
        <v>42688</v>
      </c>
      <c r="C166" s="5">
        <f>49/70</f>
        <v>0.7</v>
      </c>
      <c r="D166" s="5">
        <f t="shared" si="27"/>
        <v>0.30000000000000004</v>
      </c>
      <c r="E166" s="6">
        <f t="shared" si="1"/>
        <v>0.3999999999999999</v>
      </c>
      <c r="F166" s="5">
        <v>0.7114</v>
      </c>
      <c r="G166" s="5">
        <v>0.7081999999999999</v>
      </c>
      <c r="H166" s="5">
        <v>0.7190000000000001</v>
      </c>
      <c r="I166" s="6">
        <f t="shared" si="2"/>
        <v>-0.010800000000000143</v>
      </c>
      <c r="J166" s="6">
        <f t="shared" si="29"/>
        <v>0</v>
      </c>
      <c r="K166" s="8">
        <v>0.55</v>
      </c>
      <c r="L166" s="9" t="s">
        <v>28</v>
      </c>
      <c r="M166" s="3">
        <f t="shared" si="4"/>
        <v>0</v>
      </c>
      <c r="N166" s="30">
        <f t="shared" si="30"/>
        <v>0</v>
      </c>
      <c r="O166" s="3">
        <f t="shared" si="31"/>
        <v>1</v>
      </c>
      <c r="P166" s="10">
        <f t="shared" si="7"/>
        <v>1</v>
      </c>
      <c r="Q166" s="6">
        <f t="shared" si="14"/>
        <v>0.49375</v>
      </c>
      <c r="R166" s="11">
        <v>2165.64</v>
      </c>
      <c r="S166" s="11">
        <v>2181.9</v>
      </c>
      <c r="T166" s="12">
        <f t="shared" si="8"/>
        <v>16.26000000000022</v>
      </c>
      <c r="U166" s="13">
        <f t="shared" si="9"/>
        <v>0.00750817310356302</v>
      </c>
      <c r="V166" s="6">
        <f t="shared" si="16"/>
        <v>0.45454545454545453</v>
      </c>
      <c r="W166" s="6">
        <f t="shared" si="28"/>
        <v>0.49019607843137253</v>
      </c>
      <c r="X166" s="3">
        <f t="shared" si="10"/>
        <v>1</v>
      </c>
      <c r="Y166" s="3">
        <f t="shared" si="11"/>
        <v>1</v>
      </c>
      <c r="Z166" s="10">
        <f t="shared" si="12"/>
        <v>1</v>
      </c>
      <c r="AA166" s="13">
        <f t="shared" si="13"/>
        <v>0.00750817310356302</v>
      </c>
    </row>
    <row r="167" spans="1:27" ht="14.25">
      <c r="A167" s="3">
        <f aca="true" t="shared" si="32" ref="A167:A264">A166+1</f>
        <v>165</v>
      </c>
      <c r="B167" s="29">
        <f t="shared" si="20"/>
        <v>42695</v>
      </c>
      <c r="C167" s="5">
        <f>42/65</f>
        <v>0.6461538461538462</v>
      </c>
      <c r="D167" s="5">
        <f t="shared" si="27"/>
        <v>0.3538461538461538</v>
      </c>
      <c r="E167" s="6">
        <f t="shared" si="1"/>
        <v>0.2923076923076924</v>
      </c>
      <c r="F167" s="5">
        <v>0.6727</v>
      </c>
      <c r="G167" s="5">
        <v>0.6820999999999999</v>
      </c>
      <c r="H167" s="5">
        <v>0.6545000000000001</v>
      </c>
      <c r="I167" s="6">
        <f t="shared" si="2"/>
        <v>0.027599999999999847</v>
      </c>
      <c r="J167" s="6">
        <f t="shared" si="29"/>
        <v>0</v>
      </c>
      <c r="K167" s="8">
        <v>0.63</v>
      </c>
      <c r="L167" s="9" t="s">
        <v>5</v>
      </c>
      <c r="M167" s="3">
        <f t="shared" si="4"/>
        <v>0</v>
      </c>
      <c r="N167" s="30">
        <f t="shared" si="30"/>
        <v>0</v>
      </c>
      <c r="O167" s="3">
        <f t="shared" si="31"/>
        <v>1</v>
      </c>
      <c r="P167" s="10">
        <f t="shared" si="7"/>
        <v>1</v>
      </c>
      <c r="Q167" s="6">
        <f t="shared" si="14"/>
        <v>0.4968944099378882</v>
      </c>
      <c r="R167" s="11">
        <v>2186.43</v>
      </c>
      <c r="S167" s="11">
        <v>2213.35</v>
      </c>
      <c r="T167" s="12">
        <f t="shared" si="8"/>
        <v>26.920000000000073</v>
      </c>
      <c r="U167" s="13">
        <f t="shared" si="9"/>
        <v>0.012312308191892754</v>
      </c>
      <c r="V167" s="6">
        <f t="shared" si="16"/>
        <v>0.5454545454545454</v>
      </c>
      <c r="W167" s="6">
        <f t="shared" si="28"/>
        <v>0.49019607843137253</v>
      </c>
      <c r="X167" s="3">
        <f t="shared" si="10"/>
        <v>1</v>
      </c>
      <c r="Y167" s="3">
        <f t="shared" si="11"/>
        <v>0</v>
      </c>
      <c r="Z167" s="10">
        <f t="shared" si="12"/>
        <v>0</v>
      </c>
      <c r="AA167" s="13">
        <f t="shared" si="13"/>
        <v>0</v>
      </c>
    </row>
    <row r="168" spans="1:27" ht="14.25">
      <c r="A168" s="3">
        <f t="shared" si="32"/>
        <v>166</v>
      </c>
      <c r="B168" s="29">
        <f t="shared" si="20"/>
        <v>42702</v>
      </c>
      <c r="C168" s="5">
        <f>46/70</f>
        <v>0.6571428571428571</v>
      </c>
      <c r="D168" s="5">
        <f t="shared" si="27"/>
        <v>0.34285714285714286</v>
      </c>
      <c r="E168" s="6">
        <f t="shared" si="1"/>
        <v>0.3142857142857143</v>
      </c>
      <c r="F168" s="5">
        <v>0.7020000000000001</v>
      </c>
      <c r="G168" s="5">
        <v>0.7109000000000001</v>
      </c>
      <c r="H168" s="5">
        <v>0.6854</v>
      </c>
      <c r="I168" s="6">
        <f t="shared" si="2"/>
        <v>0.025500000000000078</v>
      </c>
      <c r="J168" s="6">
        <f t="shared" si="29"/>
        <v>0</v>
      </c>
      <c r="K168" s="8">
        <v>0.64</v>
      </c>
      <c r="L168" s="9" t="s">
        <v>5</v>
      </c>
      <c r="M168" s="3">
        <f t="shared" si="4"/>
        <v>0</v>
      </c>
      <c r="N168" s="30">
        <f t="shared" si="30"/>
        <v>0</v>
      </c>
      <c r="O168" s="3">
        <f t="shared" si="31"/>
        <v>0</v>
      </c>
      <c r="P168" s="10">
        <f t="shared" si="7"/>
        <v>0</v>
      </c>
      <c r="Q168" s="6">
        <f t="shared" si="14"/>
        <v>0.49382716049382713</v>
      </c>
      <c r="R168" s="11">
        <v>2210.21</v>
      </c>
      <c r="S168" s="11">
        <v>2191.95</v>
      </c>
      <c r="T168" s="12">
        <f t="shared" si="8"/>
        <v>-18.26000000000022</v>
      </c>
      <c r="U168" s="13">
        <f t="shared" si="9"/>
        <v>-0.008261658394451305</v>
      </c>
      <c r="V168" s="6">
        <f t="shared" si="16"/>
        <v>0.5454545454545454</v>
      </c>
      <c r="W168" s="6">
        <f t="shared" si="28"/>
        <v>0.49019607843137253</v>
      </c>
      <c r="X168" s="3">
        <f t="shared" si="10"/>
        <v>1</v>
      </c>
      <c r="Y168" s="3">
        <f t="shared" si="11"/>
        <v>0</v>
      </c>
      <c r="Z168" s="10">
        <f t="shared" si="12"/>
        <v>0</v>
      </c>
      <c r="AA168" s="13">
        <f t="shared" si="13"/>
        <v>0</v>
      </c>
    </row>
    <row r="169" spans="1:27" ht="14.25">
      <c r="A169" s="3">
        <f t="shared" si="32"/>
        <v>167</v>
      </c>
      <c r="B169" s="29">
        <f t="shared" si="20"/>
        <v>42709</v>
      </c>
      <c r="C169" s="5">
        <f>43/83</f>
        <v>0.5180722891566265</v>
      </c>
      <c r="D169" s="5">
        <f t="shared" si="27"/>
        <v>0.4819277108433735</v>
      </c>
      <c r="E169" s="6">
        <f t="shared" si="1"/>
        <v>0.03614457831325302</v>
      </c>
      <c r="F169" s="5">
        <v>0.7023999999999999</v>
      </c>
      <c r="G169" s="5">
        <v>0.7314</v>
      </c>
      <c r="H169" s="5">
        <v>0.6713</v>
      </c>
      <c r="I169" s="6">
        <f t="shared" si="2"/>
        <v>0.06010000000000004</v>
      </c>
      <c r="J169" s="6">
        <f t="shared" si="29"/>
        <v>0</v>
      </c>
      <c r="K169" s="8">
        <v>0.59</v>
      </c>
      <c r="L169" s="9" t="s">
        <v>5</v>
      </c>
      <c r="M169" s="3">
        <f t="shared" si="4"/>
        <v>0</v>
      </c>
      <c r="N169" s="30">
        <f t="shared" si="30"/>
        <v>0</v>
      </c>
      <c r="O169" s="3">
        <f t="shared" si="31"/>
        <v>1</v>
      </c>
      <c r="P169" s="10">
        <f t="shared" si="7"/>
        <v>1</v>
      </c>
      <c r="Q169" s="6">
        <f t="shared" si="14"/>
        <v>0.49693251533742333</v>
      </c>
      <c r="R169" s="11">
        <v>2200.65</v>
      </c>
      <c r="S169" s="11">
        <v>2259.53</v>
      </c>
      <c r="T169" s="12">
        <f t="shared" si="8"/>
        <v>58.88000000000011</v>
      </c>
      <c r="U169" s="13">
        <f t="shared" si="9"/>
        <v>0.026755731261218326</v>
      </c>
      <c r="V169" s="6">
        <f t="shared" si="16"/>
        <v>0.6363636363636364</v>
      </c>
      <c r="W169" s="6">
        <f t="shared" si="28"/>
        <v>0.5098039215686274</v>
      </c>
      <c r="X169" s="3">
        <f t="shared" si="10"/>
        <v>1</v>
      </c>
      <c r="Y169" s="3">
        <f t="shared" si="11"/>
        <v>0</v>
      </c>
      <c r="Z169" s="10">
        <f t="shared" si="12"/>
        <v>0</v>
      </c>
      <c r="AA169" s="13">
        <f t="shared" si="13"/>
        <v>0</v>
      </c>
    </row>
    <row r="170" spans="1:27" ht="14.25">
      <c r="A170" s="3">
        <f t="shared" si="32"/>
        <v>168</v>
      </c>
      <c r="B170" s="29">
        <f t="shared" si="20"/>
        <v>42716</v>
      </c>
      <c r="C170" s="5">
        <f>44/74</f>
        <v>0.5945945945945946</v>
      </c>
      <c r="D170" s="5">
        <f t="shared" si="27"/>
        <v>0.4054054054054054</v>
      </c>
      <c r="E170" s="6">
        <f t="shared" si="1"/>
        <v>0.18918918918918926</v>
      </c>
      <c r="F170" s="5">
        <v>0.7054</v>
      </c>
      <c r="G170" s="5">
        <v>0.7364</v>
      </c>
      <c r="H170" s="5">
        <v>0.66</v>
      </c>
      <c r="I170" s="6">
        <f t="shared" si="2"/>
        <v>0.07640000000000002</v>
      </c>
      <c r="J170" s="6">
        <f t="shared" si="29"/>
        <v>0</v>
      </c>
      <c r="K170" s="8">
        <v>0.6</v>
      </c>
      <c r="L170" s="9" t="s">
        <v>5</v>
      </c>
      <c r="M170" s="3">
        <f t="shared" si="4"/>
        <v>0</v>
      </c>
      <c r="N170" s="30">
        <f t="shared" si="30"/>
        <v>0</v>
      </c>
      <c r="O170" s="3">
        <f t="shared" si="31"/>
        <v>0</v>
      </c>
      <c r="P170" s="10">
        <f t="shared" si="7"/>
        <v>0</v>
      </c>
      <c r="Q170" s="6">
        <f t="shared" si="14"/>
        <v>0.49390243902439024</v>
      </c>
      <c r="R170" s="11">
        <v>2258.83</v>
      </c>
      <c r="S170" s="11">
        <v>2258.07</v>
      </c>
      <c r="T170" s="12">
        <f t="shared" si="8"/>
        <v>-0.7599999999997635</v>
      </c>
      <c r="U170" s="13">
        <f t="shared" si="9"/>
        <v>-0.00033645736952305557</v>
      </c>
      <c r="V170" s="6">
        <f t="shared" si="16"/>
        <v>0.6363636363636364</v>
      </c>
      <c r="W170" s="6">
        <f t="shared" si="28"/>
        <v>0.49019607843137253</v>
      </c>
      <c r="X170" s="3">
        <f t="shared" si="10"/>
        <v>1</v>
      </c>
      <c r="Y170" s="3">
        <f t="shared" si="11"/>
        <v>0</v>
      </c>
      <c r="Z170" s="10">
        <f t="shared" si="12"/>
        <v>0</v>
      </c>
      <c r="AA170" s="13">
        <f t="shared" si="13"/>
        <v>0</v>
      </c>
    </row>
    <row r="171" spans="1:27" ht="14.25">
      <c r="A171" s="3">
        <f t="shared" si="32"/>
        <v>169</v>
      </c>
      <c r="B171" s="29">
        <f t="shared" si="20"/>
        <v>42723</v>
      </c>
      <c r="C171" s="5">
        <f>51/80</f>
        <v>0.6375</v>
      </c>
      <c r="D171" s="5">
        <f t="shared" si="27"/>
        <v>0.36250000000000004</v>
      </c>
      <c r="E171" s="6">
        <f t="shared" si="1"/>
        <v>0.2749999999999999</v>
      </c>
      <c r="F171" s="5">
        <v>0.7075</v>
      </c>
      <c r="G171" s="5">
        <v>0.7118000000000001</v>
      </c>
      <c r="H171" s="5">
        <v>0.7</v>
      </c>
      <c r="I171" s="6">
        <f t="shared" si="2"/>
        <v>0.011800000000000144</v>
      </c>
      <c r="J171" s="6">
        <f t="shared" si="29"/>
        <v>0</v>
      </c>
      <c r="K171" s="8">
        <v>0.58</v>
      </c>
      <c r="L171" s="9" t="s">
        <v>5</v>
      </c>
      <c r="M171" s="3">
        <f t="shared" si="4"/>
        <v>0</v>
      </c>
      <c r="N171" s="30">
        <f t="shared" si="30"/>
        <v>0</v>
      </c>
      <c r="O171" s="3">
        <f t="shared" si="31"/>
        <v>1</v>
      </c>
      <c r="P171" s="10">
        <f t="shared" si="7"/>
        <v>1</v>
      </c>
      <c r="Q171" s="6">
        <f t="shared" si="14"/>
        <v>0.49696969696969695</v>
      </c>
      <c r="R171" s="11">
        <v>2259.24</v>
      </c>
      <c r="S171" s="11">
        <v>2263.79</v>
      </c>
      <c r="T171" s="12">
        <f t="shared" si="8"/>
        <v>4.550000000000182</v>
      </c>
      <c r="U171" s="13">
        <f t="shared" si="9"/>
        <v>0.0020139515943415408</v>
      </c>
      <c r="V171" s="6">
        <f t="shared" si="16"/>
        <v>0.6363636363636364</v>
      </c>
      <c r="W171" s="6">
        <f t="shared" si="28"/>
        <v>0.5098039215686274</v>
      </c>
      <c r="X171" s="3">
        <f t="shared" si="10"/>
        <v>1</v>
      </c>
      <c r="Y171" s="3">
        <f t="shared" si="11"/>
        <v>0</v>
      </c>
      <c r="Z171" s="10">
        <f t="shared" si="12"/>
        <v>0</v>
      </c>
      <c r="AA171" s="13">
        <f t="shared" si="13"/>
        <v>0</v>
      </c>
    </row>
    <row r="172" spans="1:27" ht="14.25">
      <c r="A172" s="3">
        <f t="shared" si="32"/>
        <v>170</v>
      </c>
      <c r="B172" s="29">
        <f t="shared" si="20"/>
        <v>42730</v>
      </c>
      <c r="C172" s="5">
        <f>38/61</f>
        <v>0.6229508196721312</v>
      </c>
      <c r="D172" s="5">
        <f t="shared" si="27"/>
        <v>0.3770491803278688</v>
      </c>
      <c r="E172" s="6">
        <f t="shared" si="1"/>
        <v>0.24590163934426235</v>
      </c>
      <c r="F172" s="5">
        <v>0.6762</v>
      </c>
      <c r="G172" s="5">
        <v>0.6658</v>
      </c>
      <c r="H172" s="5">
        <v>0.6934999999999999</v>
      </c>
      <c r="I172" s="6">
        <f t="shared" si="2"/>
        <v>-0.027699999999999947</v>
      </c>
      <c r="J172" s="6">
        <f t="shared" si="29"/>
        <v>0</v>
      </c>
      <c r="K172" s="8">
        <v>0.55</v>
      </c>
      <c r="L172" s="9" t="s">
        <v>28</v>
      </c>
      <c r="M172" s="3">
        <f t="shared" si="4"/>
        <v>0</v>
      </c>
      <c r="N172" s="30">
        <f t="shared" si="30"/>
        <v>0</v>
      </c>
      <c r="O172" s="3">
        <f t="shared" si="31"/>
        <v>0</v>
      </c>
      <c r="P172" s="10">
        <f t="shared" si="7"/>
        <v>0</v>
      </c>
      <c r="Q172" s="6">
        <f t="shared" si="14"/>
        <v>0.4939759036144578</v>
      </c>
      <c r="R172" s="11">
        <v>2266.23</v>
      </c>
      <c r="S172" s="11">
        <v>2238.83</v>
      </c>
      <c r="T172" s="12">
        <f t="shared" si="8"/>
        <v>-27.40000000000009</v>
      </c>
      <c r="U172" s="13">
        <f t="shared" si="9"/>
        <v>-0.012090564505809247</v>
      </c>
      <c r="V172" s="6">
        <f t="shared" si="16"/>
        <v>0.5454545454545454</v>
      </c>
      <c r="W172" s="6">
        <f t="shared" si="28"/>
        <v>0.49019607843137253</v>
      </c>
      <c r="X172" s="3">
        <f t="shared" si="10"/>
        <v>1</v>
      </c>
      <c r="Y172" s="3">
        <f t="shared" si="11"/>
        <v>1</v>
      </c>
      <c r="Z172" s="10">
        <f t="shared" si="12"/>
        <v>0</v>
      </c>
      <c r="AA172" s="13">
        <f t="shared" si="13"/>
        <v>-0.012090564505809247</v>
      </c>
    </row>
    <row r="173" spans="1:27" ht="14.25">
      <c r="A173" s="3">
        <f t="shared" si="32"/>
        <v>171</v>
      </c>
      <c r="B173" s="29">
        <f t="shared" si="20"/>
        <v>42737</v>
      </c>
      <c r="C173" s="5">
        <f>31/80</f>
        <v>0.3875</v>
      </c>
      <c r="D173" s="5">
        <f t="shared" si="27"/>
        <v>0.6125</v>
      </c>
      <c r="E173" s="6">
        <f t="shared" si="1"/>
        <v>-0.22500000000000003</v>
      </c>
      <c r="F173" s="5">
        <v>0.6862999999999999</v>
      </c>
      <c r="G173" s="5">
        <v>0.7033</v>
      </c>
      <c r="H173" s="5">
        <v>0.6765000000000001</v>
      </c>
      <c r="I173" s="6">
        <f t="shared" si="2"/>
        <v>0.026799999999999935</v>
      </c>
      <c r="J173" s="6">
        <f t="shared" si="29"/>
        <v>0</v>
      </c>
      <c r="K173" s="8">
        <v>0.59</v>
      </c>
      <c r="L173" s="9" t="s">
        <v>5</v>
      </c>
      <c r="M173" s="3">
        <f t="shared" si="4"/>
        <v>0</v>
      </c>
      <c r="N173" s="30">
        <f t="shared" si="30"/>
        <v>0</v>
      </c>
      <c r="O173" s="3">
        <f t="shared" si="31"/>
        <v>0</v>
      </c>
      <c r="P173" s="10">
        <f t="shared" si="7"/>
        <v>1</v>
      </c>
      <c r="Q173" s="6">
        <f t="shared" si="14"/>
        <v>0.49101796407185627</v>
      </c>
      <c r="R173" s="11">
        <v>2251.57</v>
      </c>
      <c r="S173" s="11">
        <v>2276.98</v>
      </c>
      <c r="T173" s="12">
        <f t="shared" si="8"/>
        <v>25.409999999999854</v>
      </c>
      <c r="U173" s="13">
        <f t="shared" si="9"/>
        <v>0.011285458591116355</v>
      </c>
      <c r="V173" s="6">
        <f t="shared" si="16"/>
        <v>0.5454545454545454</v>
      </c>
      <c r="W173" s="6">
        <f t="shared" si="28"/>
        <v>0.49019607843137253</v>
      </c>
      <c r="X173" s="3">
        <f t="shared" si="10"/>
        <v>0</v>
      </c>
      <c r="Y173" s="3">
        <f t="shared" si="11"/>
        <v>0</v>
      </c>
      <c r="Z173" s="10">
        <f t="shared" si="12"/>
        <v>0</v>
      </c>
      <c r="AA173" s="13">
        <f t="shared" si="13"/>
        <v>0</v>
      </c>
    </row>
    <row r="174" spans="1:27" ht="14.25">
      <c r="A174" s="3">
        <f t="shared" si="32"/>
        <v>172</v>
      </c>
      <c r="B174" s="29">
        <f t="shared" si="20"/>
        <v>42744</v>
      </c>
      <c r="C174" s="5">
        <f>55/80</f>
        <v>0.6875</v>
      </c>
      <c r="D174" s="5">
        <f t="shared" si="27"/>
        <v>0.3125</v>
      </c>
      <c r="E174" s="6">
        <f t="shared" si="1"/>
        <v>0.375</v>
      </c>
      <c r="F174" s="5">
        <v>0.6706</v>
      </c>
      <c r="G174" s="5">
        <v>0.6845</v>
      </c>
      <c r="H174" s="5">
        <v>0.64</v>
      </c>
      <c r="I174" s="6">
        <f t="shared" si="2"/>
        <v>0.044499999999999984</v>
      </c>
      <c r="J174" s="6">
        <f t="shared" si="29"/>
        <v>0</v>
      </c>
      <c r="K174" s="8">
        <v>0.57</v>
      </c>
      <c r="L174" s="9" t="s">
        <v>5</v>
      </c>
      <c r="M174" s="3">
        <f t="shared" si="4"/>
        <v>0</v>
      </c>
      <c r="N174" s="30">
        <f t="shared" si="30"/>
        <v>0</v>
      </c>
      <c r="O174" s="3">
        <f t="shared" si="31"/>
        <v>1</v>
      </c>
      <c r="P174" s="10">
        <f t="shared" si="7"/>
        <v>1</v>
      </c>
      <c r="Q174" s="6">
        <f t="shared" si="14"/>
        <v>0.49404761904761907</v>
      </c>
      <c r="R174" s="11">
        <v>2273.59</v>
      </c>
      <c r="S174" s="11">
        <v>2274.64</v>
      </c>
      <c r="T174" s="12">
        <f t="shared" si="8"/>
        <v>1.0499999999997272</v>
      </c>
      <c r="U174" s="13">
        <f t="shared" si="9"/>
        <v>0.00046182469134704456</v>
      </c>
      <c r="V174" s="6">
        <f t="shared" si="16"/>
        <v>0.5454545454545454</v>
      </c>
      <c r="W174" s="6">
        <f t="shared" si="28"/>
        <v>0.5098039215686274</v>
      </c>
      <c r="X174" s="3">
        <f t="shared" si="10"/>
        <v>1</v>
      </c>
      <c r="Y174" s="3">
        <f t="shared" si="11"/>
        <v>0</v>
      </c>
      <c r="Z174" s="10">
        <f t="shared" si="12"/>
        <v>0</v>
      </c>
      <c r="AA174" s="13">
        <f t="shared" si="13"/>
        <v>0</v>
      </c>
    </row>
    <row r="175" spans="1:27" ht="14.25">
      <c r="A175" s="3">
        <f t="shared" si="32"/>
        <v>173</v>
      </c>
      <c r="B175" s="29">
        <f t="shared" si="20"/>
        <v>42751</v>
      </c>
      <c r="C175" s="5">
        <f>54/78</f>
        <v>0.6923076923076923</v>
      </c>
      <c r="D175" s="5">
        <f t="shared" si="27"/>
        <v>0.3076923076923077</v>
      </c>
      <c r="E175" s="6">
        <f t="shared" si="1"/>
        <v>0.3846153846153846</v>
      </c>
      <c r="F175" s="5">
        <v>0.6609</v>
      </c>
      <c r="G175" s="5">
        <v>0.6722</v>
      </c>
      <c r="H175" s="5">
        <v>0.6354</v>
      </c>
      <c r="I175" s="6">
        <f t="shared" si="2"/>
        <v>0.036800000000000055</v>
      </c>
      <c r="J175" s="6">
        <f t="shared" si="29"/>
        <v>0</v>
      </c>
      <c r="K175" s="8">
        <v>0.63</v>
      </c>
      <c r="L175" s="9" t="s">
        <v>5</v>
      </c>
      <c r="M175" s="3">
        <f t="shared" si="4"/>
        <v>0</v>
      </c>
      <c r="N175" s="30">
        <f t="shared" si="30"/>
        <v>0</v>
      </c>
      <c r="O175" s="3">
        <f t="shared" si="31"/>
        <v>1</v>
      </c>
      <c r="P175" s="10">
        <f t="shared" si="7"/>
        <v>1</v>
      </c>
      <c r="Q175" s="6">
        <f t="shared" si="14"/>
        <v>0.4970414201183432</v>
      </c>
      <c r="R175" s="11">
        <v>2269.14</v>
      </c>
      <c r="S175" s="11">
        <v>2271.31</v>
      </c>
      <c r="T175" s="12">
        <f t="shared" si="8"/>
        <v>2.1700000000000728</v>
      </c>
      <c r="U175" s="13">
        <f t="shared" si="9"/>
        <v>0.0009563094388182628</v>
      </c>
      <c r="V175" s="6">
        <f t="shared" si="16"/>
        <v>0.5454545454545454</v>
      </c>
      <c r="W175" s="6">
        <f t="shared" si="28"/>
        <v>0.5098039215686274</v>
      </c>
      <c r="X175" s="3">
        <f t="shared" si="10"/>
        <v>1</v>
      </c>
      <c r="Y175" s="3">
        <f t="shared" si="11"/>
        <v>0</v>
      </c>
      <c r="Z175" s="10">
        <f t="shared" si="12"/>
        <v>0</v>
      </c>
      <c r="AA175" s="13">
        <f t="shared" si="13"/>
        <v>0</v>
      </c>
    </row>
    <row r="176" spans="1:27" ht="14.25">
      <c r="A176" s="3">
        <f t="shared" si="32"/>
        <v>174</v>
      </c>
      <c r="B176" s="29">
        <f t="shared" si="20"/>
        <v>42758</v>
      </c>
      <c r="C176" s="5">
        <f>38/69</f>
        <v>0.5507246376811594</v>
      </c>
      <c r="D176" s="5">
        <f t="shared" si="27"/>
        <v>0.4492753623188406</v>
      </c>
      <c r="E176" s="6">
        <f t="shared" si="1"/>
        <v>0.10144927536231885</v>
      </c>
      <c r="F176" s="5">
        <v>0.6746</v>
      </c>
      <c r="G176" s="5">
        <v>0.6729999999999999</v>
      </c>
      <c r="H176" s="5">
        <v>0.679</v>
      </c>
      <c r="I176" s="6">
        <f t="shared" si="2"/>
        <v>-0.006000000000000116</v>
      </c>
      <c r="J176" s="6">
        <f t="shared" si="29"/>
        <v>0</v>
      </c>
      <c r="K176" s="8">
        <v>0.54</v>
      </c>
      <c r="L176" s="9" t="s">
        <v>5</v>
      </c>
      <c r="M176" s="3">
        <f t="shared" si="4"/>
        <v>0</v>
      </c>
      <c r="N176" s="30">
        <f t="shared" si="30"/>
        <v>0</v>
      </c>
      <c r="O176" s="3">
        <f t="shared" si="31"/>
        <v>1</v>
      </c>
      <c r="P176" s="10">
        <f t="shared" si="7"/>
        <v>1</v>
      </c>
      <c r="Q176" s="6">
        <f t="shared" si="14"/>
        <v>0.5</v>
      </c>
      <c r="R176" s="11">
        <v>2267.78</v>
      </c>
      <c r="S176" s="11">
        <v>2294.69</v>
      </c>
      <c r="T176" s="12">
        <f t="shared" si="8"/>
        <v>26.909999999999854</v>
      </c>
      <c r="U176" s="13">
        <f t="shared" si="9"/>
        <v>0.0118662304103572</v>
      </c>
      <c r="V176" s="6">
        <f t="shared" si="16"/>
        <v>0.6363636363636364</v>
      </c>
      <c r="W176" s="6">
        <f t="shared" si="28"/>
        <v>0.5294117647058824</v>
      </c>
      <c r="X176" s="3">
        <f t="shared" si="10"/>
        <v>1</v>
      </c>
      <c r="Y176" s="3">
        <f t="shared" si="11"/>
        <v>1</v>
      </c>
      <c r="Z176" s="10">
        <f t="shared" si="12"/>
        <v>1</v>
      </c>
      <c r="AA176" s="13">
        <f t="shared" si="13"/>
        <v>0.0118662304103572</v>
      </c>
    </row>
    <row r="177" spans="1:27" ht="14.25">
      <c r="A177" s="3">
        <f t="shared" si="32"/>
        <v>175</v>
      </c>
      <c r="B177" s="29">
        <f t="shared" si="20"/>
        <v>42765</v>
      </c>
      <c r="C177" s="5">
        <f>39/77</f>
        <v>0.5064935064935064</v>
      </c>
      <c r="D177" s="5">
        <f t="shared" si="27"/>
        <v>0.49350649350649356</v>
      </c>
      <c r="E177" s="6">
        <f t="shared" si="1"/>
        <v>0.01298701298701288</v>
      </c>
      <c r="F177" s="5">
        <v>0.6909000000000001</v>
      </c>
      <c r="G177" s="5">
        <v>0.6897</v>
      </c>
      <c r="H177" s="5">
        <v>0.6920999999999999</v>
      </c>
      <c r="I177" s="6">
        <f t="shared" si="2"/>
        <v>-0.0023999999999999577</v>
      </c>
      <c r="J177" s="6">
        <f t="shared" si="29"/>
        <v>0</v>
      </c>
      <c r="K177" s="8">
        <v>0.63</v>
      </c>
      <c r="L177" s="9" t="s">
        <v>5</v>
      </c>
      <c r="M177" s="3">
        <f t="shared" si="4"/>
        <v>0</v>
      </c>
      <c r="N177" s="30">
        <f t="shared" si="30"/>
        <v>0</v>
      </c>
      <c r="O177" s="3">
        <f t="shared" si="31"/>
        <v>1</v>
      </c>
      <c r="P177" s="10">
        <f t="shared" si="7"/>
        <v>1</v>
      </c>
      <c r="Q177" s="6">
        <f t="shared" si="14"/>
        <v>0.5029239766081871</v>
      </c>
      <c r="R177" s="11">
        <v>2286.01</v>
      </c>
      <c r="S177" s="11">
        <v>2297.42</v>
      </c>
      <c r="T177" s="12">
        <f t="shared" si="8"/>
        <v>11.409999999999854</v>
      </c>
      <c r="U177" s="13">
        <f t="shared" si="9"/>
        <v>0.004991229259714461</v>
      </c>
      <c r="V177" s="6">
        <f t="shared" si="16"/>
        <v>0.6363636363636364</v>
      </c>
      <c r="W177" s="6">
        <f t="shared" si="28"/>
        <v>0.5294117647058824</v>
      </c>
      <c r="X177" s="3">
        <f t="shared" si="10"/>
        <v>1</v>
      </c>
      <c r="Y177" s="3">
        <f t="shared" si="11"/>
        <v>1</v>
      </c>
      <c r="Z177" s="10">
        <f t="shared" si="12"/>
        <v>1</v>
      </c>
      <c r="AA177" s="13">
        <f t="shared" si="13"/>
        <v>0.004991229259714461</v>
      </c>
    </row>
    <row r="178" spans="1:27" ht="14.25">
      <c r="A178" s="3">
        <f t="shared" si="32"/>
        <v>176</v>
      </c>
      <c r="B178" s="29">
        <f t="shared" si="20"/>
        <v>42772</v>
      </c>
      <c r="C178" s="5">
        <f>54/79</f>
        <v>0.6835443037974683</v>
      </c>
      <c r="D178" s="5">
        <f t="shared" si="27"/>
        <v>0.31645569620253167</v>
      </c>
      <c r="E178" s="6">
        <f t="shared" si="1"/>
        <v>0.36708860759493667</v>
      </c>
      <c r="F178" s="5">
        <v>0.6658</v>
      </c>
      <c r="G178" s="5">
        <v>0.6806</v>
      </c>
      <c r="H178" s="5">
        <v>0.634</v>
      </c>
      <c r="I178" s="6">
        <f t="shared" si="2"/>
        <v>0.046599999999999975</v>
      </c>
      <c r="J178" s="6">
        <f t="shared" si="29"/>
        <v>0</v>
      </c>
      <c r="K178" s="8">
        <v>0.61</v>
      </c>
      <c r="L178" s="9" t="s">
        <v>5</v>
      </c>
      <c r="M178" s="3">
        <f t="shared" si="4"/>
        <v>0</v>
      </c>
      <c r="N178" s="30">
        <f t="shared" si="30"/>
        <v>0</v>
      </c>
      <c r="O178" s="3">
        <f t="shared" si="31"/>
        <v>1</v>
      </c>
      <c r="P178" s="10">
        <f t="shared" si="7"/>
        <v>1</v>
      </c>
      <c r="Q178" s="6">
        <f t="shared" si="14"/>
        <v>0.5058139534883721</v>
      </c>
      <c r="R178" s="11">
        <v>2294.28</v>
      </c>
      <c r="S178" s="11">
        <v>2316.1</v>
      </c>
      <c r="T178" s="12">
        <f t="shared" si="8"/>
        <v>21.81999999999971</v>
      </c>
      <c r="U178" s="13">
        <f t="shared" si="9"/>
        <v>0.009510608992799357</v>
      </c>
      <c r="V178" s="6">
        <f t="shared" si="16"/>
        <v>0.6363636363636364</v>
      </c>
      <c r="W178" s="6">
        <f t="shared" si="28"/>
        <v>0.5294117647058824</v>
      </c>
      <c r="X178" s="3">
        <f t="shared" si="10"/>
        <v>1</v>
      </c>
      <c r="Y178" s="3">
        <f t="shared" si="11"/>
        <v>0</v>
      </c>
      <c r="Z178" s="10">
        <f t="shared" si="12"/>
        <v>0</v>
      </c>
      <c r="AA178" s="13">
        <f t="shared" si="13"/>
        <v>0</v>
      </c>
    </row>
    <row r="179" spans="1:27" ht="14.25">
      <c r="A179" s="3">
        <f t="shared" si="32"/>
        <v>177</v>
      </c>
      <c r="B179" s="29">
        <f t="shared" si="20"/>
        <v>42779</v>
      </c>
      <c r="C179" s="5">
        <f>54/87</f>
        <v>0.6206896551724138</v>
      </c>
      <c r="D179" s="5">
        <f t="shared" si="27"/>
        <v>0.3793103448275862</v>
      </c>
      <c r="E179" s="6">
        <f t="shared" si="1"/>
        <v>0.24137931034482762</v>
      </c>
      <c r="F179" s="5">
        <v>0.6648999999999999</v>
      </c>
      <c r="G179" s="5">
        <v>0.6574</v>
      </c>
      <c r="H179" s="5">
        <v>0.6773</v>
      </c>
      <c r="I179" s="6">
        <f t="shared" si="2"/>
        <v>-0.01990000000000003</v>
      </c>
      <c r="J179" s="6">
        <f t="shared" si="29"/>
        <v>0</v>
      </c>
      <c r="K179" s="8">
        <v>0.55</v>
      </c>
      <c r="L179" s="9" t="s">
        <v>28</v>
      </c>
      <c r="M179" s="3">
        <f t="shared" si="4"/>
        <v>0</v>
      </c>
      <c r="N179" s="30">
        <f t="shared" si="30"/>
        <v>0</v>
      </c>
      <c r="O179" s="3">
        <f t="shared" si="31"/>
        <v>1</v>
      </c>
      <c r="P179" s="10">
        <f t="shared" si="7"/>
        <v>1</v>
      </c>
      <c r="Q179" s="6">
        <f t="shared" si="14"/>
        <v>0.5086705202312138</v>
      </c>
      <c r="R179" s="11">
        <v>2321.72</v>
      </c>
      <c r="S179" s="11">
        <v>2351.16</v>
      </c>
      <c r="T179" s="12">
        <f t="shared" si="8"/>
        <v>29.440000000000055</v>
      </c>
      <c r="U179" s="13">
        <f t="shared" si="9"/>
        <v>0.012680254294230165</v>
      </c>
      <c r="V179" s="6">
        <f t="shared" si="16"/>
        <v>0.7272727272727273</v>
      </c>
      <c r="W179" s="6">
        <f t="shared" si="28"/>
        <v>0.5294117647058824</v>
      </c>
      <c r="X179" s="3">
        <f t="shared" si="10"/>
        <v>1</v>
      </c>
      <c r="Y179" s="3">
        <f t="shared" si="11"/>
        <v>1</v>
      </c>
      <c r="Z179" s="10">
        <f t="shared" si="12"/>
        <v>1</v>
      </c>
      <c r="AA179" s="13">
        <f t="shared" si="13"/>
        <v>0.012680254294230165</v>
      </c>
    </row>
    <row r="180" spans="1:27" ht="14.25">
      <c r="A180" s="3">
        <f t="shared" si="32"/>
        <v>178</v>
      </c>
      <c r="B180" s="29">
        <f t="shared" si="20"/>
        <v>42786</v>
      </c>
      <c r="C180" s="5">
        <f>45/74</f>
        <v>0.6081081081081081</v>
      </c>
      <c r="D180" s="5">
        <f t="shared" si="27"/>
        <v>0.3918918918918919</v>
      </c>
      <c r="E180" s="6">
        <f t="shared" si="1"/>
        <v>0.21621621621621623</v>
      </c>
      <c r="F180" s="5">
        <v>0.6622</v>
      </c>
      <c r="G180" s="5">
        <v>0.6833</v>
      </c>
      <c r="H180" s="5">
        <v>0.6293</v>
      </c>
      <c r="I180" s="6">
        <f t="shared" si="2"/>
        <v>0.05400000000000005</v>
      </c>
      <c r="J180" s="6">
        <f t="shared" si="29"/>
        <v>0</v>
      </c>
      <c r="K180" s="8">
        <v>0.63</v>
      </c>
      <c r="L180" s="9" t="s">
        <v>5</v>
      </c>
      <c r="M180" s="3">
        <f t="shared" si="4"/>
        <v>0</v>
      </c>
      <c r="N180" s="30">
        <f t="shared" si="30"/>
        <v>0</v>
      </c>
      <c r="O180" s="3">
        <f t="shared" si="31"/>
        <v>1</v>
      </c>
      <c r="P180" s="10">
        <f t="shared" si="7"/>
        <v>1</v>
      </c>
      <c r="Q180" s="6">
        <f t="shared" si="14"/>
        <v>0.5114942528735632</v>
      </c>
      <c r="R180" s="11">
        <v>2354.91</v>
      </c>
      <c r="S180" s="11">
        <v>2367.34</v>
      </c>
      <c r="T180" s="12">
        <f t="shared" si="8"/>
        <v>12.430000000000291</v>
      </c>
      <c r="U180" s="13">
        <f t="shared" si="9"/>
        <v>0.0052783333545656915</v>
      </c>
      <c r="V180" s="6">
        <f t="shared" si="16"/>
        <v>0.7272727272727273</v>
      </c>
      <c r="W180" s="6">
        <f t="shared" si="28"/>
        <v>0.5294117647058824</v>
      </c>
      <c r="X180" s="3">
        <f t="shared" si="10"/>
        <v>1</v>
      </c>
      <c r="Y180" s="3">
        <f t="shared" si="11"/>
        <v>0</v>
      </c>
      <c r="Z180" s="10">
        <f t="shared" si="12"/>
        <v>0</v>
      </c>
      <c r="AA180" s="13">
        <f t="shared" si="13"/>
        <v>0</v>
      </c>
    </row>
    <row r="181" spans="1:27" ht="14.25">
      <c r="A181" s="3">
        <f t="shared" si="32"/>
        <v>179</v>
      </c>
      <c r="B181" s="29">
        <f t="shared" si="20"/>
        <v>42793</v>
      </c>
      <c r="C181" s="5">
        <f>48/94</f>
        <v>0.5106382978723404</v>
      </c>
      <c r="D181" s="5">
        <f t="shared" si="27"/>
        <v>0.4893617021276596</v>
      </c>
      <c r="E181" s="6">
        <f t="shared" si="1"/>
        <v>0.02127659574468077</v>
      </c>
      <c r="F181" s="5">
        <v>0.6648999999999999</v>
      </c>
      <c r="G181" s="5">
        <v>0.6708</v>
      </c>
      <c r="H181" s="5">
        <v>0.6587000000000001</v>
      </c>
      <c r="I181" s="6">
        <f t="shared" si="2"/>
        <v>0.012099999999999889</v>
      </c>
      <c r="J181" s="6">
        <f t="shared" si="29"/>
        <v>0</v>
      </c>
      <c r="K181" s="8">
        <v>0.53</v>
      </c>
      <c r="L181" s="9" t="s">
        <v>5</v>
      </c>
      <c r="M181" s="3">
        <f t="shared" si="4"/>
        <v>0</v>
      </c>
      <c r="N181" s="30">
        <f t="shared" si="30"/>
        <v>0</v>
      </c>
      <c r="O181" s="3">
        <f t="shared" si="31"/>
        <v>1</v>
      </c>
      <c r="P181" s="10">
        <f t="shared" si="7"/>
        <v>1</v>
      </c>
      <c r="Q181" s="6">
        <f t="shared" si="14"/>
        <v>0.5142857142857142</v>
      </c>
      <c r="R181" s="11">
        <v>2365.23</v>
      </c>
      <c r="S181" s="11">
        <v>2383.12</v>
      </c>
      <c r="T181" s="12">
        <f t="shared" si="8"/>
        <v>17.889999999999873</v>
      </c>
      <c r="U181" s="13">
        <f t="shared" si="9"/>
        <v>0.007563746443263392</v>
      </c>
      <c r="V181" s="6">
        <f t="shared" si="16"/>
        <v>0.8181818181818182</v>
      </c>
      <c r="W181" s="6">
        <f t="shared" si="28"/>
        <v>0.5490196078431373</v>
      </c>
      <c r="X181" s="3">
        <f t="shared" si="10"/>
        <v>1</v>
      </c>
      <c r="Y181" s="3">
        <f t="shared" si="11"/>
        <v>0</v>
      </c>
      <c r="Z181" s="10">
        <f t="shared" si="12"/>
        <v>0</v>
      </c>
      <c r="AA181" s="13">
        <f t="shared" si="13"/>
        <v>0</v>
      </c>
    </row>
    <row r="182" spans="1:27" ht="14.25">
      <c r="A182" s="3">
        <f t="shared" si="32"/>
        <v>180</v>
      </c>
      <c r="B182" s="29">
        <f t="shared" si="20"/>
        <v>42800</v>
      </c>
      <c r="C182" s="5">
        <f>49/90</f>
        <v>0.5444444444444444</v>
      </c>
      <c r="D182" s="5">
        <f t="shared" si="27"/>
        <v>0.4555555555555556</v>
      </c>
      <c r="E182" s="6">
        <f t="shared" si="1"/>
        <v>0.0888888888888888</v>
      </c>
      <c r="F182" s="5">
        <v>0.6617000000000001</v>
      </c>
      <c r="G182" s="5">
        <v>0.6581999999999999</v>
      </c>
      <c r="H182" s="5">
        <v>0.6659</v>
      </c>
      <c r="I182" s="6">
        <f t="shared" si="2"/>
        <v>-0.007700000000000151</v>
      </c>
      <c r="J182" s="6">
        <f t="shared" si="29"/>
        <v>0</v>
      </c>
      <c r="K182" s="8">
        <v>0.59</v>
      </c>
      <c r="L182" s="9" t="s">
        <v>5</v>
      </c>
      <c r="M182" s="3">
        <f t="shared" si="4"/>
        <v>0</v>
      </c>
      <c r="N182" s="30">
        <f t="shared" si="30"/>
        <v>0</v>
      </c>
      <c r="O182" s="3">
        <f t="shared" si="31"/>
        <v>0</v>
      </c>
      <c r="P182" s="10">
        <f t="shared" si="7"/>
        <v>0</v>
      </c>
      <c r="Q182" s="6">
        <f t="shared" si="14"/>
        <v>0.5113636363636364</v>
      </c>
      <c r="R182" s="11">
        <v>2375.23</v>
      </c>
      <c r="S182" s="11">
        <v>2372.6</v>
      </c>
      <c r="T182" s="12">
        <f t="shared" si="8"/>
        <v>-2.630000000000109</v>
      </c>
      <c r="U182" s="13">
        <f t="shared" si="9"/>
        <v>-0.001107261191547812</v>
      </c>
      <c r="V182" s="6">
        <f t="shared" si="16"/>
        <v>0.7272727272727273</v>
      </c>
      <c r="W182" s="6">
        <f t="shared" si="28"/>
        <v>0.5294117647058824</v>
      </c>
      <c r="X182" s="3">
        <f t="shared" si="10"/>
        <v>1</v>
      </c>
      <c r="Y182" s="3">
        <f t="shared" si="11"/>
        <v>1</v>
      </c>
      <c r="Z182" s="10">
        <f t="shared" si="12"/>
        <v>0</v>
      </c>
      <c r="AA182" s="13">
        <f t="shared" si="13"/>
        <v>-0.001107261191547812</v>
      </c>
    </row>
    <row r="183" spans="1:27" ht="14.25">
      <c r="A183" s="3">
        <f t="shared" si="32"/>
        <v>181</v>
      </c>
      <c r="B183" s="29">
        <f t="shared" si="20"/>
        <v>42807</v>
      </c>
      <c r="C183" s="5">
        <f>38/71</f>
        <v>0.5352112676056338</v>
      </c>
      <c r="D183" s="5">
        <f t="shared" si="27"/>
        <v>0.46478873239436624</v>
      </c>
      <c r="E183" s="6">
        <f t="shared" si="1"/>
        <v>0.07042253521126751</v>
      </c>
      <c r="F183" s="5">
        <v>0.6809999999999999</v>
      </c>
      <c r="G183" s="5">
        <v>0.6934</v>
      </c>
      <c r="H183" s="5">
        <v>0.6667000000000001</v>
      </c>
      <c r="I183" s="6">
        <f t="shared" si="2"/>
        <v>0.026699999999999946</v>
      </c>
      <c r="J183" s="6">
        <f t="shared" si="29"/>
        <v>0</v>
      </c>
      <c r="K183" s="8">
        <v>0.56</v>
      </c>
      <c r="L183" s="9" t="s">
        <v>5</v>
      </c>
      <c r="M183" s="3">
        <f t="shared" si="4"/>
        <v>0</v>
      </c>
      <c r="N183" s="30">
        <f t="shared" si="30"/>
        <v>0</v>
      </c>
      <c r="O183" s="3">
        <f t="shared" si="31"/>
        <v>1</v>
      </c>
      <c r="P183" s="10">
        <f t="shared" si="7"/>
        <v>1</v>
      </c>
      <c r="Q183" s="6">
        <f t="shared" si="14"/>
        <v>0.5141242937853108</v>
      </c>
      <c r="R183" s="11">
        <v>2371.56</v>
      </c>
      <c r="S183" s="11">
        <v>2378.25</v>
      </c>
      <c r="T183" s="12">
        <f t="shared" si="8"/>
        <v>6.690000000000055</v>
      </c>
      <c r="U183" s="13">
        <f t="shared" si="9"/>
        <v>0.0028209279967616485</v>
      </c>
      <c r="V183" s="6">
        <f t="shared" si="16"/>
        <v>0.8181818181818182</v>
      </c>
      <c r="W183" s="6">
        <f t="shared" si="28"/>
        <v>0.5490196078431373</v>
      </c>
      <c r="X183" s="3">
        <f t="shared" si="10"/>
        <v>1</v>
      </c>
      <c r="Y183" s="3">
        <f t="shared" si="11"/>
        <v>0</v>
      </c>
      <c r="Z183" s="10">
        <f t="shared" si="12"/>
        <v>0</v>
      </c>
      <c r="AA183" s="13">
        <f t="shared" si="13"/>
        <v>0</v>
      </c>
    </row>
    <row r="184" spans="1:27" ht="14.25">
      <c r="A184" s="3">
        <f t="shared" si="32"/>
        <v>182</v>
      </c>
      <c r="B184" s="29">
        <f t="shared" si="20"/>
        <v>42814</v>
      </c>
      <c r="C184" s="5">
        <f>44/75</f>
        <v>0.5866666666666667</v>
      </c>
      <c r="D184" s="5">
        <f t="shared" si="27"/>
        <v>0.41333333333333333</v>
      </c>
      <c r="E184" s="6">
        <f t="shared" si="1"/>
        <v>0.17333333333333334</v>
      </c>
      <c r="F184" s="5">
        <v>0.674</v>
      </c>
      <c r="G184" s="5">
        <v>0.6818000000000001</v>
      </c>
      <c r="H184" s="5">
        <v>0.6629</v>
      </c>
      <c r="I184" s="6">
        <f t="shared" si="2"/>
        <v>0.018900000000000028</v>
      </c>
      <c r="J184" s="6">
        <f t="shared" si="29"/>
        <v>0</v>
      </c>
      <c r="K184" s="8">
        <v>0.64</v>
      </c>
      <c r="L184" s="9" t="s">
        <v>5</v>
      </c>
      <c r="M184" s="3">
        <f t="shared" si="4"/>
        <v>0</v>
      </c>
      <c r="N184" s="30">
        <f t="shared" si="30"/>
        <v>0</v>
      </c>
      <c r="O184" s="3">
        <f t="shared" si="31"/>
        <v>0</v>
      </c>
      <c r="P184" s="10">
        <f t="shared" si="7"/>
        <v>0</v>
      </c>
      <c r="Q184" s="6">
        <f t="shared" si="14"/>
        <v>0.5112359550561798</v>
      </c>
      <c r="R184" s="11">
        <v>2378.24</v>
      </c>
      <c r="S184" s="11">
        <v>2343.98</v>
      </c>
      <c r="T184" s="12">
        <f t="shared" si="8"/>
        <v>-34.25999999999976</v>
      </c>
      <c r="U184" s="13">
        <f t="shared" si="9"/>
        <v>-0.014405610871905176</v>
      </c>
      <c r="V184" s="6">
        <f t="shared" si="16"/>
        <v>0.8181818181818182</v>
      </c>
      <c r="W184" s="6">
        <f t="shared" si="28"/>
        <v>0.5490196078431373</v>
      </c>
      <c r="X184" s="3">
        <f t="shared" si="10"/>
        <v>1</v>
      </c>
      <c r="Y184" s="3">
        <f t="shared" si="11"/>
        <v>0</v>
      </c>
      <c r="Z184" s="10">
        <f t="shared" si="12"/>
        <v>0</v>
      </c>
      <c r="AA184" s="13">
        <f t="shared" si="13"/>
        <v>0</v>
      </c>
    </row>
    <row r="185" spans="1:27" ht="14.25">
      <c r="A185" s="3">
        <f t="shared" si="32"/>
        <v>183</v>
      </c>
      <c r="B185" s="29">
        <f t="shared" si="20"/>
        <v>42821</v>
      </c>
      <c r="C185" s="5">
        <f>22/68</f>
        <v>0.3235294117647059</v>
      </c>
      <c r="D185" s="5">
        <f t="shared" si="27"/>
        <v>0.6764705882352942</v>
      </c>
      <c r="E185" s="6">
        <f t="shared" si="1"/>
        <v>-0.35294117647058826</v>
      </c>
      <c r="F185" s="5">
        <v>0.6662</v>
      </c>
      <c r="G185" s="5">
        <v>0.6455</v>
      </c>
      <c r="H185" s="5">
        <v>0.6761</v>
      </c>
      <c r="I185" s="6">
        <f t="shared" si="2"/>
        <v>-0.03060000000000007</v>
      </c>
      <c r="J185" s="6">
        <f t="shared" si="29"/>
        <v>0</v>
      </c>
      <c r="K185" s="8">
        <v>0.57</v>
      </c>
      <c r="L185" s="9" t="s">
        <v>5</v>
      </c>
      <c r="M185" s="3">
        <f t="shared" si="4"/>
        <v>0</v>
      </c>
      <c r="N185" s="30">
        <f t="shared" si="30"/>
        <v>0</v>
      </c>
      <c r="O185" s="3">
        <f t="shared" si="31"/>
        <v>0</v>
      </c>
      <c r="P185" s="10">
        <f t="shared" si="7"/>
        <v>1</v>
      </c>
      <c r="Q185" s="6">
        <f t="shared" si="14"/>
        <v>0.5083798882681564</v>
      </c>
      <c r="R185" s="11">
        <v>2329.11</v>
      </c>
      <c r="S185" s="11">
        <v>2362.72</v>
      </c>
      <c r="T185" s="12">
        <f t="shared" si="8"/>
        <v>33.60999999999967</v>
      </c>
      <c r="U185" s="13">
        <f t="shared" si="9"/>
        <v>0.014430404746877422</v>
      </c>
      <c r="V185" s="6">
        <f t="shared" si="16"/>
        <v>0.7272727272727273</v>
      </c>
      <c r="W185" s="6">
        <f t="shared" si="28"/>
        <v>0.5490196078431373</v>
      </c>
      <c r="X185" s="3">
        <f t="shared" si="10"/>
        <v>0</v>
      </c>
      <c r="Y185" s="3">
        <f t="shared" si="11"/>
        <v>1</v>
      </c>
      <c r="Z185" s="10">
        <f t="shared" si="12"/>
        <v>0</v>
      </c>
      <c r="AA185" s="13">
        <f t="shared" si="13"/>
        <v>0</v>
      </c>
    </row>
    <row r="186" spans="1:27" ht="14.25">
      <c r="A186" s="3">
        <f t="shared" si="32"/>
        <v>184</v>
      </c>
      <c r="B186" s="29">
        <f t="shared" si="20"/>
        <v>42828</v>
      </c>
      <c r="C186" s="5">
        <f>49/91</f>
        <v>0.5384615384615384</v>
      </c>
      <c r="D186" s="5">
        <f t="shared" si="27"/>
        <v>0.46153846153846156</v>
      </c>
      <c r="E186" s="6">
        <f t="shared" si="1"/>
        <v>0.07692307692307687</v>
      </c>
      <c r="F186" s="5">
        <v>0.6731</v>
      </c>
      <c r="G186" s="5">
        <v>0.648</v>
      </c>
      <c r="H186" s="5">
        <v>0.7023999999999999</v>
      </c>
      <c r="I186" s="6">
        <f t="shared" si="2"/>
        <v>-0.05439999999999989</v>
      </c>
      <c r="J186" s="6">
        <f t="shared" si="29"/>
        <v>0</v>
      </c>
      <c r="K186" s="8">
        <v>0.56</v>
      </c>
      <c r="L186" s="9" t="s">
        <v>5</v>
      </c>
      <c r="M186" s="3">
        <f t="shared" si="4"/>
        <v>0</v>
      </c>
      <c r="N186" s="30">
        <f t="shared" si="30"/>
        <v>0</v>
      </c>
      <c r="O186" s="3">
        <f t="shared" si="31"/>
        <v>0</v>
      </c>
      <c r="P186" s="10">
        <f t="shared" si="7"/>
        <v>0</v>
      </c>
      <c r="Q186" s="6">
        <f t="shared" si="14"/>
        <v>0.5055555555555555</v>
      </c>
      <c r="R186" s="11">
        <v>2362.34</v>
      </c>
      <c r="S186" s="11">
        <v>2355.54</v>
      </c>
      <c r="T186" s="12">
        <f t="shared" si="8"/>
        <v>-6.800000000000182</v>
      </c>
      <c r="U186" s="13">
        <f t="shared" si="9"/>
        <v>-0.0028785018244622627</v>
      </c>
      <c r="V186" s="6">
        <f t="shared" si="16"/>
        <v>0.6363636363636364</v>
      </c>
      <c r="W186" s="6">
        <f t="shared" si="28"/>
        <v>0.5490196078431373</v>
      </c>
      <c r="X186" s="3">
        <f t="shared" si="10"/>
        <v>1</v>
      </c>
      <c r="Y186" s="3">
        <f t="shared" si="11"/>
        <v>1</v>
      </c>
      <c r="Z186" s="10">
        <f t="shared" si="12"/>
        <v>0</v>
      </c>
      <c r="AA186" s="13">
        <f t="shared" si="13"/>
        <v>-0.0028785018244622627</v>
      </c>
    </row>
    <row r="187" spans="1:27" ht="14.25">
      <c r="A187" s="3">
        <f t="shared" si="32"/>
        <v>185</v>
      </c>
      <c r="B187" s="29">
        <f t="shared" si="20"/>
        <v>42835</v>
      </c>
      <c r="C187" s="5">
        <f>35/66</f>
        <v>0.5303030303030303</v>
      </c>
      <c r="D187" s="5">
        <f t="shared" si="27"/>
        <v>0.4696969696969697</v>
      </c>
      <c r="E187" s="6">
        <f t="shared" si="1"/>
        <v>0.06060606060606055</v>
      </c>
      <c r="F187" s="5">
        <v>0.6583</v>
      </c>
      <c r="G187" s="5">
        <v>0.6456999999999999</v>
      </c>
      <c r="H187" s="5">
        <v>0.6726000000000001</v>
      </c>
      <c r="I187" s="6">
        <f t="shared" si="2"/>
        <v>-0.026900000000000146</v>
      </c>
      <c r="J187" s="6">
        <f t="shared" si="29"/>
        <v>0</v>
      </c>
      <c r="K187" s="8">
        <v>0.53</v>
      </c>
      <c r="L187" s="9" t="s">
        <v>5</v>
      </c>
      <c r="M187" s="3">
        <f t="shared" si="4"/>
        <v>0</v>
      </c>
      <c r="N187" s="30">
        <f t="shared" si="30"/>
        <v>0</v>
      </c>
      <c r="O187" s="3">
        <f t="shared" si="31"/>
        <v>0</v>
      </c>
      <c r="P187" s="10">
        <f t="shared" si="7"/>
        <v>0</v>
      </c>
      <c r="Q187" s="6">
        <f t="shared" si="14"/>
        <v>0.5027624309392266</v>
      </c>
      <c r="R187" s="11">
        <v>2357.16</v>
      </c>
      <c r="S187" s="11">
        <v>2328.95</v>
      </c>
      <c r="T187" s="12">
        <f t="shared" si="8"/>
        <v>-28.210000000000036</v>
      </c>
      <c r="U187" s="13">
        <f t="shared" si="9"/>
        <v>-0.011967791749393353</v>
      </c>
      <c r="V187" s="6">
        <f t="shared" si="16"/>
        <v>0.5454545454545454</v>
      </c>
      <c r="W187" s="6">
        <f t="shared" si="28"/>
        <v>0.5490196078431373</v>
      </c>
      <c r="X187" s="3">
        <f t="shared" si="10"/>
        <v>1</v>
      </c>
      <c r="Y187" s="3">
        <f t="shared" si="11"/>
        <v>1</v>
      </c>
      <c r="Z187" s="10">
        <f t="shared" si="12"/>
        <v>0</v>
      </c>
      <c r="AA187" s="13">
        <f t="shared" si="13"/>
        <v>-0.011967791749393353</v>
      </c>
    </row>
    <row r="188" spans="1:27" ht="14.25">
      <c r="A188" s="3">
        <f t="shared" si="32"/>
        <v>186</v>
      </c>
      <c r="B188" s="29">
        <f t="shared" si="20"/>
        <v>42842</v>
      </c>
      <c r="C188" s="5">
        <f>29/61</f>
        <v>0.47540983606557374</v>
      </c>
      <c r="D188" s="5">
        <f t="shared" si="27"/>
        <v>0.5245901639344263</v>
      </c>
      <c r="E188" s="6">
        <f t="shared" si="1"/>
        <v>-0.049180327868852514</v>
      </c>
      <c r="F188" s="5">
        <v>0.6901999999999999</v>
      </c>
      <c r="G188" s="5">
        <v>0.6483</v>
      </c>
      <c r="H188" s="5">
        <v>0.7281</v>
      </c>
      <c r="I188" s="6">
        <f t="shared" si="2"/>
        <v>-0.07979999999999998</v>
      </c>
      <c r="J188" s="6">
        <f t="shared" si="29"/>
        <v>0</v>
      </c>
      <c r="K188" s="8">
        <v>0.56</v>
      </c>
      <c r="L188" s="9" t="s">
        <v>5</v>
      </c>
      <c r="M188" s="3">
        <f t="shared" si="4"/>
        <v>0</v>
      </c>
      <c r="N188" s="30">
        <f t="shared" si="30"/>
        <v>0</v>
      </c>
      <c r="O188" s="3">
        <f t="shared" si="31"/>
        <v>0</v>
      </c>
      <c r="P188" s="10">
        <f t="shared" si="7"/>
        <v>1</v>
      </c>
      <c r="Q188" s="6">
        <f t="shared" si="14"/>
        <v>0.5</v>
      </c>
      <c r="R188" s="11">
        <v>2332.62</v>
      </c>
      <c r="S188" s="11">
        <v>2348.69</v>
      </c>
      <c r="T188" s="12">
        <f t="shared" si="8"/>
        <v>16.070000000000164</v>
      </c>
      <c r="U188" s="13">
        <f t="shared" si="9"/>
        <v>0.006889248998979759</v>
      </c>
      <c r="V188" s="6">
        <f t="shared" si="16"/>
        <v>0.45454545454545453</v>
      </c>
      <c r="W188" s="6">
        <f t="shared" si="28"/>
        <v>0.5294117647058824</v>
      </c>
      <c r="X188" s="3">
        <f t="shared" si="10"/>
        <v>0</v>
      </c>
      <c r="Y188" s="3">
        <f t="shared" si="11"/>
        <v>1</v>
      </c>
      <c r="Z188" s="10">
        <f t="shared" si="12"/>
        <v>0</v>
      </c>
      <c r="AA188" s="13">
        <f t="shared" si="13"/>
        <v>0</v>
      </c>
    </row>
    <row r="189" spans="1:27" ht="14.25">
      <c r="A189" s="3">
        <f t="shared" si="32"/>
        <v>187</v>
      </c>
      <c r="B189" s="29">
        <f t="shared" si="20"/>
        <v>42849</v>
      </c>
      <c r="C189" s="5">
        <f>33/57</f>
        <v>0.5789473684210527</v>
      </c>
      <c r="D189" s="5">
        <f t="shared" si="27"/>
        <v>0.42105263157894735</v>
      </c>
      <c r="E189" s="6">
        <f t="shared" si="1"/>
        <v>0.1578947368421053</v>
      </c>
      <c r="F189" s="5">
        <v>0.6851</v>
      </c>
      <c r="G189" s="5">
        <v>0.6697</v>
      </c>
      <c r="H189" s="5">
        <v>0.7062999999999999</v>
      </c>
      <c r="I189" s="6">
        <f t="shared" si="2"/>
        <v>-0.036599999999999966</v>
      </c>
      <c r="J189" s="6">
        <f t="shared" si="29"/>
        <v>0</v>
      </c>
      <c r="K189" s="8">
        <v>0.56</v>
      </c>
      <c r="L189" s="9" t="s">
        <v>28</v>
      </c>
      <c r="M189" s="3">
        <f t="shared" si="4"/>
        <v>0</v>
      </c>
      <c r="N189" s="30">
        <f t="shared" si="30"/>
        <v>0</v>
      </c>
      <c r="O189" s="3">
        <f t="shared" si="31"/>
        <v>1</v>
      </c>
      <c r="P189" s="10">
        <f t="shared" si="7"/>
        <v>1</v>
      </c>
      <c r="Q189" s="6">
        <f t="shared" si="14"/>
        <v>0.5027322404371585</v>
      </c>
      <c r="R189" s="11">
        <v>2370.33</v>
      </c>
      <c r="S189" s="11">
        <v>2384.2</v>
      </c>
      <c r="T189" s="12">
        <f t="shared" si="8"/>
        <v>13.86999999999989</v>
      </c>
      <c r="U189" s="13">
        <f t="shared" si="9"/>
        <v>0.005851505908459957</v>
      </c>
      <c r="V189" s="6">
        <f t="shared" si="16"/>
        <v>0.45454545454545453</v>
      </c>
      <c r="W189" s="6">
        <f t="shared" si="28"/>
        <v>0.5294117647058824</v>
      </c>
      <c r="X189" s="3">
        <f t="shared" si="10"/>
        <v>1</v>
      </c>
      <c r="Y189" s="3">
        <f t="shared" si="11"/>
        <v>1</v>
      </c>
      <c r="Z189" s="10">
        <f t="shared" si="12"/>
        <v>1</v>
      </c>
      <c r="AA189" s="13">
        <f t="shared" si="13"/>
        <v>0.005851505908459957</v>
      </c>
    </row>
    <row r="190" spans="1:27" ht="14.25">
      <c r="A190" s="3">
        <f t="shared" si="32"/>
        <v>188</v>
      </c>
      <c r="B190" s="29">
        <f t="shared" si="20"/>
        <v>42856</v>
      </c>
      <c r="C190" s="5">
        <f>25/64</f>
        <v>0.390625</v>
      </c>
      <c r="D190" s="5">
        <f t="shared" si="27"/>
        <v>0.609375</v>
      </c>
      <c r="E190" s="6">
        <f t="shared" si="1"/>
        <v>-0.21875</v>
      </c>
      <c r="F190" s="5">
        <v>0.6547</v>
      </c>
      <c r="G190" s="5">
        <v>0.6659999999999999</v>
      </c>
      <c r="H190" s="5">
        <v>0.6474</v>
      </c>
      <c r="I190" s="6">
        <f t="shared" si="2"/>
        <v>0.01859999999999995</v>
      </c>
      <c r="J190" s="6">
        <f t="shared" si="29"/>
        <v>0</v>
      </c>
      <c r="K190" s="8">
        <v>0.57</v>
      </c>
      <c r="L190" s="9" t="s">
        <v>5</v>
      </c>
      <c r="M190" s="3">
        <f t="shared" si="4"/>
        <v>0</v>
      </c>
      <c r="N190" s="30">
        <f t="shared" si="30"/>
        <v>0</v>
      </c>
      <c r="O190" s="3">
        <f t="shared" si="31"/>
        <v>0</v>
      </c>
      <c r="P190" s="10">
        <f t="shared" si="7"/>
        <v>1</v>
      </c>
      <c r="Q190" s="6">
        <f t="shared" si="14"/>
        <v>0.5</v>
      </c>
      <c r="R190" s="11">
        <v>2388.5</v>
      </c>
      <c r="S190" s="11">
        <v>2399.29</v>
      </c>
      <c r="T190" s="12">
        <f t="shared" si="8"/>
        <v>10.789999999999964</v>
      </c>
      <c r="U190" s="13">
        <f t="shared" si="9"/>
        <v>0.004517479589700633</v>
      </c>
      <c r="V190" s="6">
        <f t="shared" si="16"/>
        <v>0.36363636363636365</v>
      </c>
      <c r="W190" s="6">
        <f t="shared" si="28"/>
        <v>0.5294117647058824</v>
      </c>
      <c r="X190" s="3">
        <f t="shared" si="10"/>
        <v>0</v>
      </c>
      <c r="Y190" s="3">
        <f t="shared" si="11"/>
        <v>0</v>
      </c>
      <c r="Z190" s="10">
        <f t="shared" si="12"/>
        <v>0</v>
      </c>
      <c r="AA190" s="13">
        <f t="shared" si="13"/>
        <v>0</v>
      </c>
    </row>
    <row r="191" spans="1:27" ht="14.25">
      <c r="A191" s="3">
        <f t="shared" si="32"/>
        <v>189</v>
      </c>
      <c r="B191" s="29">
        <f t="shared" si="20"/>
        <v>42863</v>
      </c>
      <c r="C191" s="5">
        <f>40/61</f>
        <v>0.6557377049180327</v>
      </c>
      <c r="D191" s="5">
        <f t="shared" si="27"/>
        <v>0.34426229508196726</v>
      </c>
      <c r="E191" s="6">
        <f t="shared" si="1"/>
        <v>0.3114754098360655</v>
      </c>
      <c r="F191" s="5">
        <v>0.6705</v>
      </c>
      <c r="G191" s="5">
        <v>0.6825</v>
      </c>
      <c r="H191" s="5">
        <v>0.6476000000000001</v>
      </c>
      <c r="I191" s="6">
        <f t="shared" si="2"/>
        <v>0.03489999999999993</v>
      </c>
      <c r="J191" s="6">
        <f t="shared" si="29"/>
        <v>0</v>
      </c>
      <c r="K191" s="8">
        <v>0.64</v>
      </c>
      <c r="L191" s="9" t="s">
        <v>5</v>
      </c>
      <c r="M191" s="3">
        <f t="shared" si="4"/>
        <v>0</v>
      </c>
      <c r="N191" s="30">
        <f t="shared" si="30"/>
        <v>0</v>
      </c>
      <c r="O191" s="3">
        <f t="shared" si="31"/>
        <v>0</v>
      </c>
      <c r="P191" s="10">
        <f t="shared" si="7"/>
        <v>0</v>
      </c>
      <c r="Q191" s="6">
        <f t="shared" si="14"/>
        <v>0.4972972972972973</v>
      </c>
      <c r="R191" s="11">
        <v>2399.94</v>
      </c>
      <c r="S191" s="11">
        <v>2390.9</v>
      </c>
      <c r="T191" s="12">
        <f t="shared" si="8"/>
        <v>-9.039999999999964</v>
      </c>
      <c r="U191" s="13">
        <f t="shared" si="9"/>
        <v>-0.0037667608356875435</v>
      </c>
      <c r="V191" s="6">
        <f t="shared" si="16"/>
        <v>0.2727272727272727</v>
      </c>
      <c r="W191" s="6">
        <f t="shared" si="28"/>
        <v>0.5098039215686274</v>
      </c>
      <c r="X191" s="3">
        <f t="shared" si="10"/>
        <v>1</v>
      </c>
      <c r="Y191" s="3">
        <f t="shared" si="11"/>
        <v>0</v>
      </c>
      <c r="Z191" s="10">
        <f t="shared" si="12"/>
        <v>0</v>
      </c>
      <c r="AA191" s="13">
        <f t="shared" si="13"/>
        <v>0</v>
      </c>
    </row>
    <row r="192" spans="1:27" ht="14.25">
      <c r="A192" s="3">
        <f t="shared" si="32"/>
        <v>190</v>
      </c>
      <c r="B192" s="29">
        <f t="shared" si="20"/>
        <v>42870</v>
      </c>
      <c r="C192" s="5">
        <f>33/61</f>
        <v>0.5409836065573771</v>
      </c>
      <c r="D192" s="5">
        <f t="shared" si="27"/>
        <v>0.4590163934426229</v>
      </c>
      <c r="E192" s="6">
        <f t="shared" si="1"/>
        <v>0.08196721311475419</v>
      </c>
      <c r="F192" s="5">
        <v>0.6689</v>
      </c>
      <c r="G192" s="5">
        <v>0.6485</v>
      </c>
      <c r="H192" s="5">
        <v>0.6929000000000001</v>
      </c>
      <c r="I192" s="6">
        <f t="shared" si="2"/>
        <v>-0.044400000000000106</v>
      </c>
      <c r="J192" s="6">
        <f t="shared" si="29"/>
        <v>0</v>
      </c>
      <c r="K192" s="8">
        <v>0.55</v>
      </c>
      <c r="L192" s="9" t="s">
        <v>5</v>
      </c>
      <c r="M192" s="3">
        <f t="shared" si="4"/>
        <v>0</v>
      </c>
      <c r="N192" s="30">
        <f t="shared" si="30"/>
        <v>0</v>
      </c>
      <c r="O192" s="3">
        <f t="shared" si="31"/>
        <v>0</v>
      </c>
      <c r="P192" s="10">
        <f t="shared" si="7"/>
        <v>0</v>
      </c>
      <c r="Q192" s="6">
        <f t="shared" si="14"/>
        <v>0.4946236559139785</v>
      </c>
      <c r="R192" s="11">
        <v>2393.98</v>
      </c>
      <c r="S192" s="11">
        <v>2381.73</v>
      </c>
      <c r="T192" s="12">
        <f t="shared" si="8"/>
        <v>-12.25</v>
      </c>
      <c r="U192" s="13">
        <f t="shared" si="9"/>
        <v>-0.0051170018128806425</v>
      </c>
      <c r="V192" s="6">
        <f t="shared" si="16"/>
        <v>0.18181818181818182</v>
      </c>
      <c r="W192" s="6">
        <f t="shared" si="28"/>
        <v>0.5098039215686274</v>
      </c>
      <c r="X192" s="3">
        <f t="shared" si="10"/>
        <v>1</v>
      </c>
      <c r="Y192" s="3">
        <f t="shared" si="11"/>
        <v>1</v>
      </c>
      <c r="Z192" s="10">
        <f t="shared" si="12"/>
        <v>0</v>
      </c>
      <c r="AA192" s="13">
        <f t="shared" si="13"/>
        <v>-0.0051170018128806425</v>
      </c>
    </row>
    <row r="193" spans="1:27" ht="14.25">
      <c r="A193" s="3">
        <f t="shared" si="32"/>
        <v>191</v>
      </c>
      <c r="B193" s="29">
        <f t="shared" si="20"/>
        <v>42877</v>
      </c>
      <c r="C193" s="5">
        <f>31/61</f>
        <v>0.5081967213114754</v>
      </c>
      <c r="D193" s="5">
        <f t="shared" si="27"/>
        <v>0.4918032786885246</v>
      </c>
      <c r="E193" s="6">
        <f t="shared" si="1"/>
        <v>0.016393442622950838</v>
      </c>
      <c r="F193" s="5">
        <v>0.6672</v>
      </c>
      <c r="G193" s="5">
        <v>0.6726000000000001</v>
      </c>
      <c r="H193" s="5">
        <v>0.6617000000000001</v>
      </c>
      <c r="I193" s="6">
        <f t="shared" si="2"/>
        <v>0.01090000000000002</v>
      </c>
      <c r="J193" s="6">
        <f t="shared" si="29"/>
        <v>0</v>
      </c>
      <c r="K193" s="8">
        <v>0.59</v>
      </c>
      <c r="L193" s="9" t="s">
        <v>5</v>
      </c>
      <c r="M193" s="3">
        <f t="shared" si="4"/>
        <v>0</v>
      </c>
      <c r="N193" s="30">
        <f t="shared" si="30"/>
        <v>0</v>
      </c>
      <c r="O193" s="3">
        <f t="shared" si="31"/>
        <v>1</v>
      </c>
      <c r="P193" s="10">
        <f t="shared" si="7"/>
        <v>1</v>
      </c>
      <c r="Q193" s="6">
        <f t="shared" si="14"/>
        <v>0.49732620320855614</v>
      </c>
      <c r="R193" s="11">
        <v>2387.21</v>
      </c>
      <c r="S193" s="11">
        <v>2415.82</v>
      </c>
      <c r="T193" s="12">
        <f t="shared" si="8"/>
        <v>28.610000000000127</v>
      </c>
      <c r="U193" s="13">
        <f t="shared" si="9"/>
        <v>0.011984701806711654</v>
      </c>
      <c r="V193" s="6">
        <f t="shared" si="16"/>
        <v>0.2727272727272727</v>
      </c>
      <c r="W193" s="6">
        <f t="shared" si="28"/>
        <v>0.5098039215686274</v>
      </c>
      <c r="X193" s="3">
        <f t="shared" si="10"/>
        <v>1</v>
      </c>
      <c r="Y193" s="3">
        <f t="shared" si="11"/>
        <v>0</v>
      </c>
      <c r="Z193" s="10">
        <f t="shared" si="12"/>
        <v>0</v>
      </c>
      <c r="AA193" s="13">
        <f t="shared" si="13"/>
        <v>0</v>
      </c>
    </row>
    <row r="194" spans="1:27" ht="14.25">
      <c r="A194" s="3">
        <f t="shared" si="32"/>
        <v>192</v>
      </c>
      <c r="B194" s="29">
        <f t="shared" si="20"/>
        <v>42884</v>
      </c>
      <c r="C194" s="5">
        <f>39/70</f>
        <v>0.5571428571428572</v>
      </c>
      <c r="D194" s="5">
        <f t="shared" si="27"/>
        <v>0.44285714285714284</v>
      </c>
      <c r="E194" s="6">
        <f t="shared" si="1"/>
        <v>0.11428571428571432</v>
      </c>
      <c r="F194" s="5">
        <v>0.6829000000000001</v>
      </c>
      <c r="G194" s="5">
        <v>0.7012999999999999</v>
      </c>
      <c r="H194" s="5">
        <v>0.6597</v>
      </c>
      <c r="I194" s="6">
        <f t="shared" si="2"/>
        <v>0.04159999999999997</v>
      </c>
      <c r="J194" s="6">
        <f t="shared" si="29"/>
        <v>0</v>
      </c>
      <c r="K194" s="8">
        <v>0.62</v>
      </c>
      <c r="L194" s="9" t="s">
        <v>5</v>
      </c>
      <c r="M194" s="3">
        <f t="shared" si="4"/>
        <v>0</v>
      </c>
      <c r="N194" s="30">
        <f t="shared" si="30"/>
        <v>0</v>
      </c>
      <c r="O194" s="3">
        <f t="shared" si="31"/>
        <v>1</v>
      </c>
      <c r="P194" s="10">
        <f t="shared" si="7"/>
        <v>1</v>
      </c>
      <c r="Q194" s="6">
        <f t="shared" si="14"/>
        <v>0.5</v>
      </c>
      <c r="R194" s="11">
        <v>2411.67</v>
      </c>
      <c r="S194" s="11">
        <v>2439.07</v>
      </c>
      <c r="T194" s="12">
        <f t="shared" si="8"/>
        <v>27.40000000000009</v>
      </c>
      <c r="U194" s="13">
        <f t="shared" si="9"/>
        <v>0.011361421753390841</v>
      </c>
      <c r="V194" s="6">
        <f t="shared" si="16"/>
        <v>0.2727272727272727</v>
      </c>
      <c r="W194" s="6">
        <f t="shared" si="28"/>
        <v>0.5098039215686274</v>
      </c>
      <c r="X194" s="3">
        <f t="shared" si="10"/>
        <v>1</v>
      </c>
      <c r="Y194" s="3">
        <f t="shared" si="11"/>
        <v>0</v>
      </c>
      <c r="Z194" s="10">
        <f t="shared" si="12"/>
        <v>0</v>
      </c>
      <c r="AA194" s="13">
        <f t="shared" si="13"/>
        <v>0</v>
      </c>
    </row>
    <row r="195" spans="1:27" ht="14.25">
      <c r="A195" s="3">
        <f t="shared" si="32"/>
        <v>193</v>
      </c>
      <c r="B195" s="29">
        <f t="shared" si="20"/>
        <v>42891</v>
      </c>
      <c r="C195" s="5">
        <f>47/71</f>
        <v>0.6619718309859155</v>
      </c>
      <c r="D195" s="5">
        <f t="shared" si="27"/>
        <v>0.3380281690140845</v>
      </c>
      <c r="E195" s="6">
        <f t="shared" si="1"/>
        <v>0.323943661971831</v>
      </c>
      <c r="F195" s="5">
        <v>0.6711</v>
      </c>
      <c r="G195" s="5">
        <v>0.6766</v>
      </c>
      <c r="H195" s="5">
        <v>0.6604000000000001</v>
      </c>
      <c r="I195" s="6">
        <f t="shared" si="2"/>
        <v>0.01619999999999988</v>
      </c>
      <c r="J195" s="6">
        <f t="shared" si="29"/>
        <v>0</v>
      </c>
      <c r="K195" s="8">
        <v>0.62</v>
      </c>
      <c r="L195" s="9" t="s">
        <v>5</v>
      </c>
      <c r="M195" s="3">
        <f t="shared" si="4"/>
        <v>0</v>
      </c>
      <c r="N195" s="30">
        <f t="shared" si="30"/>
        <v>0</v>
      </c>
      <c r="O195" s="3">
        <f t="shared" si="31"/>
        <v>0</v>
      </c>
      <c r="P195" s="10">
        <f t="shared" si="7"/>
        <v>0</v>
      </c>
      <c r="Q195" s="6">
        <f t="shared" si="14"/>
        <v>0.4973544973544973</v>
      </c>
      <c r="R195" s="11">
        <v>2437.83</v>
      </c>
      <c r="S195" s="11">
        <v>2431.77</v>
      </c>
      <c r="T195" s="12">
        <f t="shared" si="8"/>
        <v>-6.059999999999945</v>
      </c>
      <c r="U195" s="13">
        <f t="shared" si="9"/>
        <v>-0.002485817304734106</v>
      </c>
      <c r="V195" s="6">
        <f t="shared" si="16"/>
        <v>0.2727272727272727</v>
      </c>
      <c r="W195" s="6">
        <f t="shared" si="28"/>
        <v>0.49019607843137253</v>
      </c>
      <c r="X195" s="3">
        <f t="shared" si="10"/>
        <v>1</v>
      </c>
      <c r="Y195" s="3">
        <f t="shared" si="11"/>
        <v>0</v>
      </c>
      <c r="Z195" s="10">
        <f t="shared" si="12"/>
        <v>0</v>
      </c>
      <c r="AA195" s="13">
        <f t="shared" si="13"/>
        <v>0</v>
      </c>
    </row>
    <row r="196" spans="1:27" ht="14.25">
      <c r="A196" s="3">
        <f t="shared" si="32"/>
        <v>194</v>
      </c>
      <c r="B196" s="29">
        <f t="shared" si="20"/>
        <v>42898</v>
      </c>
      <c r="C196" s="5">
        <f>40/64</f>
        <v>0.625</v>
      </c>
      <c r="D196" s="5">
        <f t="shared" si="27"/>
        <v>0.375</v>
      </c>
      <c r="E196" s="6">
        <f t="shared" si="1"/>
        <v>0.25</v>
      </c>
      <c r="F196" s="5">
        <v>0.6773</v>
      </c>
      <c r="G196" s="5">
        <v>0.68</v>
      </c>
      <c r="H196" s="5">
        <v>0.6729</v>
      </c>
      <c r="I196" s="6">
        <f t="shared" si="2"/>
        <v>0.007099999999999995</v>
      </c>
      <c r="J196" s="6">
        <f t="shared" si="29"/>
        <v>0</v>
      </c>
      <c r="K196" s="8">
        <v>0.6</v>
      </c>
      <c r="L196" s="9" t="s">
        <v>5</v>
      </c>
      <c r="M196" s="3">
        <f t="shared" si="4"/>
        <v>0</v>
      </c>
      <c r="N196" s="30">
        <f t="shared" si="30"/>
        <v>0</v>
      </c>
      <c r="O196" s="3">
        <f t="shared" si="31"/>
        <v>1</v>
      </c>
      <c r="P196" s="10">
        <f t="shared" si="7"/>
        <v>1</v>
      </c>
      <c r="Q196" s="6">
        <f t="shared" si="14"/>
        <v>0.5</v>
      </c>
      <c r="R196" s="11">
        <v>2425.88</v>
      </c>
      <c r="S196" s="11">
        <v>2433.15</v>
      </c>
      <c r="T196" s="12">
        <f t="shared" si="8"/>
        <v>7.269999999999982</v>
      </c>
      <c r="U196" s="13">
        <f t="shared" si="9"/>
        <v>0.0029968506274011828</v>
      </c>
      <c r="V196" s="6">
        <f t="shared" si="16"/>
        <v>0.36363636363636365</v>
      </c>
      <c r="W196" s="6">
        <f t="shared" si="28"/>
        <v>0.49019607843137253</v>
      </c>
      <c r="X196" s="3">
        <f t="shared" si="10"/>
        <v>1</v>
      </c>
      <c r="Y196" s="3">
        <f t="shared" si="11"/>
        <v>0</v>
      </c>
      <c r="Z196" s="10">
        <f t="shared" si="12"/>
        <v>0</v>
      </c>
      <c r="AA196" s="13">
        <f t="shared" si="13"/>
        <v>0</v>
      </c>
    </row>
    <row r="197" spans="1:27" ht="14.25">
      <c r="A197" s="3">
        <f t="shared" si="32"/>
        <v>195</v>
      </c>
      <c r="B197" s="29">
        <f t="shared" si="20"/>
        <v>42905</v>
      </c>
      <c r="C197" s="5">
        <f>22/36</f>
        <v>0.6111111111111112</v>
      </c>
      <c r="D197" s="5">
        <f t="shared" si="27"/>
        <v>0.38888888888888884</v>
      </c>
      <c r="E197" s="6">
        <f t="shared" si="1"/>
        <v>0.22222222222222232</v>
      </c>
      <c r="F197" s="5">
        <v>0.6597</v>
      </c>
      <c r="G197" s="5">
        <v>0.6591</v>
      </c>
      <c r="H197" s="5">
        <v>0.6607</v>
      </c>
      <c r="I197" s="6">
        <f t="shared" si="2"/>
        <v>-0.0015999999999999348</v>
      </c>
      <c r="J197" s="6">
        <f t="shared" si="29"/>
        <v>0</v>
      </c>
      <c r="K197" s="8">
        <v>0.52</v>
      </c>
      <c r="L197" s="9" t="s">
        <v>28</v>
      </c>
      <c r="M197" s="3">
        <f t="shared" si="4"/>
        <v>0</v>
      </c>
      <c r="N197" s="30">
        <f t="shared" si="30"/>
        <v>0</v>
      </c>
      <c r="O197" s="3">
        <f t="shared" si="31"/>
        <v>0</v>
      </c>
      <c r="P197" s="10">
        <f t="shared" si="7"/>
        <v>0</v>
      </c>
      <c r="Q197" s="6">
        <f t="shared" si="14"/>
        <v>0.4973821989528796</v>
      </c>
      <c r="R197" s="11">
        <v>2442.55</v>
      </c>
      <c r="S197" s="11">
        <v>2438.3</v>
      </c>
      <c r="T197" s="12">
        <f t="shared" si="8"/>
        <v>-4.25</v>
      </c>
      <c r="U197" s="13">
        <f t="shared" si="9"/>
        <v>-0.0017399848518965834</v>
      </c>
      <c r="V197" s="6">
        <f t="shared" si="16"/>
        <v>0.36363636363636365</v>
      </c>
      <c r="W197" s="6">
        <f t="shared" si="28"/>
        <v>0.49019607843137253</v>
      </c>
      <c r="X197" s="3">
        <f t="shared" si="10"/>
        <v>1</v>
      </c>
      <c r="Y197" s="3">
        <f t="shared" si="11"/>
        <v>1</v>
      </c>
      <c r="Z197" s="10">
        <f t="shared" si="12"/>
        <v>0</v>
      </c>
      <c r="AA197" s="13">
        <f t="shared" si="13"/>
        <v>-0.0017399848518965834</v>
      </c>
    </row>
    <row r="198" spans="1:27" ht="14.25">
      <c r="A198" s="3">
        <f t="shared" si="32"/>
        <v>196</v>
      </c>
      <c r="B198" s="29">
        <f t="shared" si="20"/>
        <v>42912</v>
      </c>
      <c r="C198" s="5">
        <f>41/65</f>
        <v>0.6307692307692307</v>
      </c>
      <c r="D198" s="5">
        <f t="shared" si="27"/>
        <v>0.36923076923076925</v>
      </c>
      <c r="E198" s="6">
        <f t="shared" si="1"/>
        <v>0.2615384615384615</v>
      </c>
      <c r="F198" s="5">
        <v>0.6769</v>
      </c>
      <c r="G198" s="5">
        <v>0.7206999999999999</v>
      </c>
      <c r="H198" s="5">
        <v>0.6021</v>
      </c>
      <c r="I198" s="6">
        <f t="shared" si="2"/>
        <v>0.11859999999999993</v>
      </c>
      <c r="J198" s="6">
        <f t="shared" si="29"/>
        <v>0</v>
      </c>
      <c r="K198" s="8">
        <v>0.69</v>
      </c>
      <c r="L198" s="9" t="s">
        <v>5</v>
      </c>
      <c r="M198" s="3">
        <f t="shared" si="4"/>
        <v>0</v>
      </c>
      <c r="N198" s="30">
        <f t="shared" si="30"/>
        <v>0</v>
      </c>
      <c r="O198" s="3">
        <f t="shared" si="31"/>
        <v>0</v>
      </c>
      <c r="P198" s="10">
        <f t="shared" si="7"/>
        <v>0</v>
      </c>
      <c r="Q198" s="6">
        <f t="shared" si="14"/>
        <v>0.4947916666666667</v>
      </c>
      <c r="R198" s="11">
        <v>2443.32</v>
      </c>
      <c r="S198" s="11">
        <v>2423.41</v>
      </c>
      <c r="T198" s="12">
        <f t="shared" si="8"/>
        <v>-19.91000000000031</v>
      </c>
      <c r="U198" s="13">
        <f t="shared" si="9"/>
        <v>-0.008148748424275293</v>
      </c>
      <c r="V198" s="6">
        <f t="shared" si="16"/>
        <v>0.36363636363636365</v>
      </c>
      <c r="W198" s="6">
        <f t="shared" si="28"/>
        <v>0.49019607843137253</v>
      </c>
      <c r="X198" s="3">
        <f t="shared" si="10"/>
        <v>1</v>
      </c>
      <c r="Y198" s="3">
        <f t="shared" si="11"/>
        <v>0</v>
      </c>
      <c r="Z198" s="10">
        <f t="shared" si="12"/>
        <v>0</v>
      </c>
      <c r="AA198" s="13">
        <f t="shared" si="13"/>
        <v>0</v>
      </c>
    </row>
    <row r="199" spans="1:27" ht="14.25">
      <c r="A199" s="3">
        <f t="shared" si="32"/>
        <v>197</v>
      </c>
      <c r="B199" s="29">
        <f t="shared" si="20"/>
        <v>42919</v>
      </c>
      <c r="C199" s="5">
        <f>35/62</f>
        <v>0.5645161290322581</v>
      </c>
      <c r="D199" s="5">
        <f t="shared" si="27"/>
        <v>0.4354838709677419</v>
      </c>
      <c r="E199" s="6">
        <f t="shared" si="1"/>
        <v>0.12903225806451624</v>
      </c>
      <c r="F199" s="5">
        <v>0.6620999999999999</v>
      </c>
      <c r="G199" s="5">
        <v>0.6714</v>
      </c>
      <c r="H199" s="5">
        <v>0.65</v>
      </c>
      <c r="I199" s="6">
        <f t="shared" si="2"/>
        <v>0.021399999999999975</v>
      </c>
      <c r="J199" s="6">
        <f t="shared" si="29"/>
        <v>0</v>
      </c>
      <c r="K199" s="8">
        <v>0.61</v>
      </c>
      <c r="L199" s="9" t="s">
        <v>5</v>
      </c>
      <c r="M199" s="3">
        <f t="shared" si="4"/>
        <v>0</v>
      </c>
      <c r="N199" s="30">
        <f t="shared" si="30"/>
        <v>0</v>
      </c>
      <c r="O199" s="3">
        <f t="shared" si="31"/>
        <v>0</v>
      </c>
      <c r="P199" s="10">
        <f t="shared" si="7"/>
        <v>0</v>
      </c>
      <c r="Q199" s="6">
        <f t="shared" si="14"/>
        <v>0.49222797927461137</v>
      </c>
      <c r="R199" s="11">
        <v>2431.39</v>
      </c>
      <c r="S199" s="11">
        <v>2425.18</v>
      </c>
      <c r="T199" s="12">
        <f t="shared" si="8"/>
        <v>-6.210000000000036</v>
      </c>
      <c r="U199" s="13">
        <f t="shared" si="9"/>
        <v>-0.0025540945714180104</v>
      </c>
      <c r="V199" s="6">
        <f t="shared" si="16"/>
        <v>0.36363636363636365</v>
      </c>
      <c r="W199" s="6">
        <f t="shared" si="28"/>
        <v>0.47058823529411764</v>
      </c>
      <c r="X199" s="3">
        <f t="shared" si="10"/>
        <v>1</v>
      </c>
      <c r="Y199" s="3">
        <f t="shared" si="11"/>
        <v>0</v>
      </c>
      <c r="Z199" s="10">
        <f t="shared" si="12"/>
        <v>0</v>
      </c>
      <c r="AA199" s="13">
        <f t="shared" si="13"/>
        <v>0</v>
      </c>
    </row>
    <row r="200" spans="1:27" ht="14.25">
      <c r="A200" s="3">
        <f t="shared" si="32"/>
        <v>198</v>
      </c>
      <c r="B200" s="29">
        <f t="shared" si="20"/>
        <v>42926</v>
      </c>
      <c r="C200" s="5">
        <f>44/70</f>
        <v>0.6285714285714286</v>
      </c>
      <c r="D200" s="5">
        <f t="shared" si="27"/>
        <v>0.37142857142857144</v>
      </c>
      <c r="E200" s="6">
        <f t="shared" si="1"/>
        <v>0.2571428571428571</v>
      </c>
      <c r="F200" s="5">
        <v>0.67</v>
      </c>
      <c r="G200" s="5">
        <v>0.6511</v>
      </c>
      <c r="H200" s="5">
        <v>0.7019</v>
      </c>
      <c r="I200" s="6">
        <f t="shared" si="2"/>
        <v>-0.050799999999999956</v>
      </c>
      <c r="J200" s="6">
        <f t="shared" si="29"/>
        <v>0</v>
      </c>
      <c r="K200" s="8">
        <v>0.55</v>
      </c>
      <c r="L200" s="9" t="s">
        <v>28</v>
      </c>
      <c r="M200" s="3">
        <f t="shared" si="4"/>
        <v>0</v>
      </c>
      <c r="N200" s="30">
        <f t="shared" si="30"/>
        <v>0</v>
      </c>
      <c r="O200" s="3">
        <f t="shared" si="31"/>
        <v>1</v>
      </c>
      <c r="P200" s="10">
        <f t="shared" si="7"/>
        <v>1</v>
      </c>
      <c r="Q200" s="6">
        <f t="shared" si="14"/>
        <v>0.4948453608247423</v>
      </c>
      <c r="R200" s="11">
        <v>2424.51</v>
      </c>
      <c r="S200" s="11">
        <v>2459.27</v>
      </c>
      <c r="T200" s="12">
        <f t="shared" si="8"/>
        <v>34.75999999999976</v>
      </c>
      <c r="U200" s="13">
        <f t="shared" si="9"/>
        <v>0.014336917562723915</v>
      </c>
      <c r="V200" s="6">
        <f t="shared" si="16"/>
        <v>0.36363636363636365</v>
      </c>
      <c r="W200" s="6">
        <f t="shared" si="28"/>
        <v>0.49019607843137253</v>
      </c>
      <c r="X200" s="3">
        <f t="shared" si="10"/>
        <v>1</v>
      </c>
      <c r="Y200" s="3">
        <f t="shared" si="11"/>
        <v>1</v>
      </c>
      <c r="Z200" s="10">
        <f t="shared" si="12"/>
        <v>1</v>
      </c>
      <c r="AA200" s="13">
        <f t="shared" si="13"/>
        <v>0.014336917562723915</v>
      </c>
    </row>
    <row r="201" spans="1:27" ht="14.25">
      <c r="A201" s="3">
        <f t="shared" si="32"/>
        <v>199</v>
      </c>
      <c r="B201" s="29">
        <f t="shared" si="20"/>
        <v>42933</v>
      </c>
      <c r="C201" s="5">
        <f>38/62</f>
        <v>0.6129032258064516</v>
      </c>
      <c r="D201" s="5">
        <f t="shared" si="27"/>
        <v>0.3870967741935484</v>
      </c>
      <c r="E201" s="6">
        <f t="shared" si="1"/>
        <v>0.22580645161290325</v>
      </c>
      <c r="F201" s="5">
        <v>0.6911</v>
      </c>
      <c r="G201" s="5">
        <v>0.7132</v>
      </c>
      <c r="H201" s="5">
        <v>0.6563</v>
      </c>
      <c r="I201" s="6">
        <f t="shared" si="2"/>
        <v>0.05689999999999995</v>
      </c>
      <c r="J201" s="6">
        <f t="shared" si="29"/>
        <v>0</v>
      </c>
      <c r="K201" s="8">
        <v>0.64</v>
      </c>
      <c r="L201" s="9" t="s">
        <v>5</v>
      </c>
      <c r="M201" s="3">
        <f t="shared" si="4"/>
        <v>0</v>
      </c>
      <c r="N201" s="30">
        <f t="shared" si="30"/>
        <v>0</v>
      </c>
      <c r="O201" s="3">
        <f t="shared" si="31"/>
        <v>1</v>
      </c>
      <c r="P201" s="10">
        <f t="shared" si="7"/>
        <v>1</v>
      </c>
      <c r="Q201" s="6">
        <f t="shared" si="14"/>
        <v>0.49743589743589745</v>
      </c>
      <c r="R201" s="11">
        <v>2459.5</v>
      </c>
      <c r="S201" s="11">
        <v>2472.54</v>
      </c>
      <c r="T201" s="12">
        <f t="shared" si="8"/>
        <v>13.039999999999964</v>
      </c>
      <c r="U201" s="13">
        <f t="shared" si="9"/>
        <v>0.005301890628176444</v>
      </c>
      <c r="V201" s="6">
        <f t="shared" si="16"/>
        <v>0.45454545454545453</v>
      </c>
      <c r="W201" s="6">
        <f t="shared" si="28"/>
        <v>0.5098039215686274</v>
      </c>
      <c r="X201" s="3">
        <f t="shared" si="10"/>
        <v>1</v>
      </c>
      <c r="Y201" s="3">
        <f t="shared" si="11"/>
        <v>0</v>
      </c>
      <c r="Z201" s="10">
        <f t="shared" si="12"/>
        <v>0</v>
      </c>
      <c r="AA201" s="13">
        <f t="shared" si="13"/>
        <v>0</v>
      </c>
    </row>
    <row r="202" spans="1:27" ht="14.25">
      <c r="A202" s="3">
        <f t="shared" si="32"/>
        <v>200</v>
      </c>
      <c r="B202" s="29">
        <f t="shared" si="20"/>
        <v>42940</v>
      </c>
      <c r="C202" s="5">
        <f>28/52</f>
        <v>0.5384615384615384</v>
      </c>
      <c r="D202" s="5">
        <f t="shared" si="27"/>
        <v>0.46153846153846156</v>
      </c>
      <c r="E202" s="6">
        <f t="shared" si="1"/>
        <v>0.07692307692307687</v>
      </c>
      <c r="F202" s="5">
        <v>0.6654000000000001</v>
      </c>
      <c r="G202" s="5">
        <v>0.6839</v>
      </c>
      <c r="H202" s="5">
        <v>0.6437999999999999</v>
      </c>
      <c r="I202" s="6">
        <f t="shared" si="2"/>
        <v>0.040100000000000025</v>
      </c>
      <c r="J202" s="6">
        <f t="shared" si="29"/>
        <v>0</v>
      </c>
      <c r="K202" s="8">
        <v>0.61</v>
      </c>
      <c r="L202" s="9" t="s">
        <v>5</v>
      </c>
      <c r="M202" s="3">
        <f t="shared" si="4"/>
        <v>0</v>
      </c>
      <c r="N202" s="30">
        <f t="shared" si="30"/>
        <v>0</v>
      </c>
      <c r="O202" s="3">
        <f t="shared" si="31"/>
        <v>1</v>
      </c>
      <c r="P202" s="10">
        <f t="shared" si="7"/>
        <v>1</v>
      </c>
      <c r="Q202" s="6">
        <f t="shared" si="14"/>
        <v>0.5</v>
      </c>
      <c r="R202" s="11">
        <v>2472.04</v>
      </c>
      <c r="S202" s="11">
        <v>2472.1</v>
      </c>
      <c r="T202" s="12">
        <f t="shared" si="8"/>
        <v>0.05999999999994543</v>
      </c>
      <c r="U202" s="13">
        <f t="shared" si="9"/>
        <v>2.4271451918231676E-05</v>
      </c>
      <c r="V202" s="6">
        <f t="shared" si="16"/>
        <v>0.5454545454545454</v>
      </c>
      <c r="W202" s="6">
        <f t="shared" si="28"/>
        <v>0.5294117647058824</v>
      </c>
      <c r="X202" s="3">
        <f t="shared" si="10"/>
        <v>1</v>
      </c>
      <c r="Y202" s="3">
        <f t="shared" si="11"/>
        <v>0</v>
      </c>
      <c r="Z202" s="10">
        <f t="shared" si="12"/>
        <v>0</v>
      </c>
      <c r="AA202" s="13">
        <f t="shared" si="13"/>
        <v>0</v>
      </c>
    </row>
    <row r="203" spans="1:27" ht="14.25">
      <c r="A203" s="3">
        <f t="shared" si="32"/>
        <v>201</v>
      </c>
      <c r="B203" s="29">
        <f t="shared" si="20"/>
        <v>42947</v>
      </c>
      <c r="C203" s="5">
        <f>32/67</f>
        <v>0.47761194029850745</v>
      </c>
      <c r="D203" s="5">
        <f t="shared" si="27"/>
        <v>0.5223880597014925</v>
      </c>
      <c r="E203" s="6">
        <f t="shared" si="1"/>
        <v>-0.04477611940298504</v>
      </c>
      <c r="F203" s="5">
        <v>0.6634</v>
      </c>
      <c r="G203" s="5">
        <v>0.6640999999999999</v>
      </c>
      <c r="H203" s="5">
        <v>0.6629</v>
      </c>
      <c r="I203" s="6">
        <f t="shared" si="2"/>
        <v>0.0011999999999998678</v>
      </c>
      <c r="J203" s="6">
        <f t="shared" si="29"/>
        <v>0</v>
      </c>
      <c r="K203" s="8">
        <v>0.57</v>
      </c>
      <c r="L203" s="9" t="s">
        <v>28</v>
      </c>
      <c r="M203" s="3">
        <f t="shared" si="4"/>
        <v>0</v>
      </c>
      <c r="N203" s="30">
        <f t="shared" si="30"/>
        <v>0</v>
      </c>
      <c r="O203" s="3">
        <f t="shared" si="31"/>
        <v>0</v>
      </c>
      <c r="P203" s="10">
        <f t="shared" si="7"/>
        <v>1</v>
      </c>
      <c r="Q203" s="6">
        <f t="shared" si="14"/>
        <v>0.49746192893401014</v>
      </c>
      <c r="R203" s="11">
        <v>2475.94</v>
      </c>
      <c r="S203" s="11">
        <v>2476.83</v>
      </c>
      <c r="T203" s="12">
        <f t="shared" si="8"/>
        <v>0.8899999999998727</v>
      </c>
      <c r="U203" s="13">
        <f t="shared" si="9"/>
        <v>0.0003594594376276778</v>
      </c>
      <c r="V203" s="6">
        <f t="shared" si="16"/>
        <v>0.5454545454545454</v>
      </c>
      <c r="W203" s="6">
        <f t="shared" si="28"/>
        <v>0.5098039215686274</v>
      </c>
      <c r="X203" s="3">
        <f t="shared" si="10"/>
        <v>0</v>
      </c>
      <c r="Y203" s="3">
        <f t="shared" si="11"/>
        <v>0</v>
      </c>
      <c r="Z203" s="10">
        <f t="shared" si="12"/>
        <v>0</v>
      </c>
      <c r="AA203" s="13">
        <f t="shared" si="13"/>
        <v>0</v>
      </c>
    </row>
    <row r="204" spans="1:27" ht="14.25">
      <c r="A204" s="3">
        <f t="shared" si="32"/>
        <v>202</v>
      </c>
      <c r="B204" s="29">
        <f t="shared" si="20"/>
        <v>42954</v>
      </c>
      <c r="C204" s="5">
        <f>25/51</f>
        <v>0.49019607843137253</v>
      </c>
      <c r="D204" s="5">
        <f t="shared" si="27"/>
        <v>0.5098039215686274</v>
      </c>
      <c r="E204" s="6">
        <f t="shared" si="1"/>
        <v>-0.019607843137254888</v>
      </c>
      <c r="F204" s="5">
        <v>0.6676000000000001</v>
      </c>
      <c r="G204" s="5">
        <v>0.71</v>
      </c>
      <c r="H204" s="5">
        <v>0.6269</v>
      </c>
      <c r="I204" s="6">
        <f t="shared" si="2"/>
        <v>0.08309999999999995</v>
      </c>
      <c r="J204" s="6">
        <f t="shared" si="29"/>
        <v>0</v>
      </c>
      <c r="K204" s="8">
        <v>0.53</v>
      </c>
      <c r="L204" s="9" t="s">
        <v>5</v>
      </c>
      <c r="M204" s="3">
        <f t="shared" si="4"/>
        <v>0</v>
      </c>
      <c r="N204" s="30">
        <f t="shared" si="30"/>
        <v>0</v>
      </c>
      <c r="O204" s="3">
        <f t="shared" si="31"/>
        <v>1</v>
      </c>
      <c r="P204" s="10">
        <f t="shared" si="7"/>
        <v>0</v>
      </c>
      <c r="Q204" s="6">
        <f t="shared" si="14"/>
        <v>0.5</v>
      </c>
      <c r="R204" s="11">
        <v>2477.14</v>
      </c>
      <c r="S204" s="11">
        <v>2441.32</v>
      </c>
      <c r="T204" s="12">
        <f t="shared" si="8"/>
        <v>-35.81999999999971</v>
      </c>
      <c r="U204" s="13">
        <f t="shared" si="9"/>
        <v>-0.014460224290916021</v>
      </c>
      <c r="V204" s="6">
        <f t="shared" si="16"/>
        <v>0.5454545454545454</v>
      </c>
      <c r="W204" s="6">
        <f t="shared" si="28"/>
        <v>0.5098039215686274</v>
      </c>
      <c r="X204" s="3">
        <f t="shared" si="10"/>
        <v>0</v>
      </c>
      <c r="Y204" s="3">
        <f t="shared" si="11"/>
        <v>0</v>
      </c>
      <c r="Z204" s="10">
        <f t="shared" si="12"/>
        <v>0</v>
      </c>
      <c r="AA204" s="13">
        <f t="shared" si="13"/>
        <v>0</v>
      </c>
    </row>
    <row r="205" spans="1:27" ht="14.25">
      <c r="A205" s="3">
        <f t="shared" si="32"/>
        <v>203</v>
      </c>
      <c r="B205" s="29">
        <f t="shared" si="20"/>
        <v>42961</v>
      </c>
      <c r="C205" s="5">
        <f>30/57</f>
        <v>0.5263157894736842</v>
      </c>
      <c r="D205" s="5">
        <f t="shared" si="27"/>
        <v>0.4736842105263158</v>
      </c>
      <c r="E205" s="6">
        <f t="shared" si="1"/>
        <v>0.05263157894736836</v>
      </c>
      <c r="F205" s="5">
        <v>0.7079000000000001</v>
      </c>
      <c r="G205" s="5">
        <v>0.7017</v>
      </c>
      <c r="H205" s="5">
        <v>0.7148</v>
      </c>
      <c r="I205" s="6">
        <f t="shared" si="2"/>
        <v>-0.0131</v>
      </c>
      <c r="J205" s="6">
        <f t="shared" si="29"/>
        <v>0</v>
      </c>
      <c r="K205" s="8">
        <v>0.52</v>
      </c>
      <c r="L205" s="9" t="s">
        <v>28</v>
      </c>
      <c r="M205" s="3">
        <f t="shared" si="4"/>
        <v>0</v>
      </c>
      <c r="N205" s="30">
        <f t="shared" si="30"/>
        <v>0</v>
      </c>
      <c r="O205" s="3">
        <f t="shared" si="31"/>
        <v>0</v>
      </c>
      <c r="P205" s="10">
        <f t="shared" si="7"/>
        <v>0</v>
      </c>
      <c r="Q205" s="6">
        <f t="shared" si="14"/>
        <v>0.49748743718592964</v>
      </c>
      <c r="R205" s="11">
        <v>2454.96</v>
      </c>
      <c r="S205" s="11">
        <v>2425.55</v>
      </c>
      <c r="T205" s="12">
        <f t="shared" si="8"/>
        <v>-29.409999999999854</v>
      </c>
      <c r="U205" s="13">
        <f t="shared" si="9"/>
        <v>-0.011979828591911825</v>
      </c>
      <c r="V205" s="6">
        <f t="shared" si="16"/>
        <v>0.45454545454545453</v>
      </c>
      <c r="W205" s="6">
        <f t="shared" si="28"/>
        <v>0.49019607843137253</v>
      </c>
      <c r="X205" s="3">
        <f t="shared" si="10"/>
        <v>1</v>
      </c>
      <c r="Y205" s="3">
        <f t="shared" si="11"/>
        <v>1</v>
      </c>
      <c r="Z205" s="10">
        <f t="shared" si="12"/>
        <v>0</v>
      </c>
      <c r="AA205" s="13">
        <f t="shared" si="13"/>
        <v>-0.011979828591911825</v>
      </c>
    </row>
    <row r="206" spans="1:27" ht="14.25">
      <c r="A206" s="3">
        <f t="shared" si="32"/>
        <v>204</v>
      </c>
      <c r="B206" s="29">
        <f t="shared" si="20"/>
        <v>42968</v>
      </c>
      <c r="C206" s="5">
        <f>20/59</f>
        <v>0.3389830508474576</v>
      </c>
      <c r="D206" s="5">
        <f t="shared" si="27"/>
        <v>0.6610169491525424</v>
      </c>
      <c r="E206" s="6">
        <f t="shared" si="1"/>
        <v>-0.3220338983050848</v>
      </c>
      <c r="F206" s="5">
        <v>0.6576000000000001</v>
      </c>
      <c r="G206" s="5">
        <v>0.6875</v>
      </c>
      <c r="H206" s="5">
        <v>0.6423000000000001</v>
      </c>
      <c r="I206" s="6">
        <f t="shared" si="2"/>
        <v>0.04519999999999991</v>
      </c>
      <c r="J206" s="6">
        <f t="shared" si="29"/>
        <v>0</v>
      </c>
      <c r="K206" s="8">
        <v>0.7</v>
      </c>
      <c r="L206" s="9" t="s">
        <v>5</v>
      </c>
      <c r="M206" s="3">
        <f t="shared" si="4"/>
        <v>0</v>
      </c>
      <c r="N206" s="30">
        <f t="shared" si="30"/>
        <v>0</v>
      </c>
      <c r="O206" s="3">
        <f t="shared" si="31"/>
        <v>0</v>
      </c>
      <c r="P206" s="10">
        <f t="shared" si="7"/>
        <v>1</v>
      </c>
      <c r="Q206" s="6">
        <f t="shared" si="14"/>
        <v>0.495</v>
      </c>
      <c r="R206" s="11">
        <v>2425.5</v>
      </c>
      <c r="S206" s="11">
        <v>2443.05</v>
      </c>
      <c r="T206" s="12">
        <f t="shared" si="8"/>
        <v>17.550000000000182</v>
      </c>
      <c r="U206" s="13">
        <f t="shared" si="9"/>
        <v>0.007235621521335882</v>
      </c>
      <c r="V206" s="6">
        <f t="shared" si="16"/>
        <v>0.45454545454545453</v>
      </c>
      <c r="W206" s="6">
        <f t="shared" si="28"/>
        <v>0.49019607843137253</v>
      </c>
      <c r="X206" s="3">
        <f t="shared" si="10"/>
        <v>0</v>
      </c>
      <c r="Y206" s="3">
        <f t="shared" si="11"/>
        <v>0</v>
      </c>
      <c r="Z206" s="10">
        <f t="shared" si="12"/>
        <v>0</v>
      </c>
      <c r="AA206" s="13">
        <f t="shared" si="13"/>
        <v>0</v>
      </c>
    </row>
    <row r="207" spans="1:27" ht="14.25">
      <c r="A207" s="3">
        <f t="shared" si="32"/>
        <v>205</v>
      </c>
      <c r="B207" s="29">
        <f t="shared" si="20"/>
        <v>42975</v>
      </c>
      <c r="C207" s="5">
        <f>30/56</f>
        <v>0.5357142857142857</v>
      </c>
      <c r="D207" s="5">
        <f t="shared" si="27"/>
        <v>0.4642857142857143</v>
      </c>
      <c r="E207" s="6">
        <f t="shared" si="1"/>
        <v>0.0714285714285714</v>
      </c>
      <c r="F207" s="5">
        <v>0.675</v>
      </c>
      <c r="G207" s="5">
        <v>0.6833</v>
      </c>
      <c r="H207" s="5">
        <v>0.6654000000000001</v>
      </c>
      <c r="I207" s="6">
        <f t="shared" si="2"/>
        <v>0.017899999999999916</v>
      </c>
      <c r="J207" s="6">
        <f t="shared" si="29"/>
        <v>0</v>
      </c>
      <c r="K207" s="8">
        <v>0.73</v>
      </c>
      <c r="L207" s="9" t="s">
        <v>5</v>
      </c>
      <c r="M207" s="3">
        <f t="shared" si="4"/>
        <v>0</v>
      </c>
      <c r="N207" s="30">
        <f t="shared" si="30"/>
        <v>0</v>
      </c>
      <c r="O207" s="3">
        <f t="shared" si="31"/>
        <v>1</v>
      </c>
      <c r="P207" s="10">
        <f t="shared" si="7"/>
        <v>1</v>
      </c>
      <c r="Q207" s="6">
        <f t="shared" si="14"/>
        <v>0.4975124378109453</v>
      </c>
      <c r="R207" s="11">
        <v>2447.35</v>
      </c>
      <c r="S207" s="11">
        <v>2476.55</v>
      </c>
      <c r="T207" s="12">
        <f t="shared" si="8"/>
        <v>29.200000000000273</v>
      </c>
      <c r="U207" s="13">
        <f t="shared" si="9"/>
        <v>0.011931272600976678</v>
      </c>
      <c r="V207" s="6">
        <f t="shared" si="16"/>
        <v>0.45454545454545453</v>
      </c>
      <c r="W207" s="6">
        <f t="shared" si="28"/>
        <v>0.5098039215686274</v>
      </c>
      <c r="X207" s="3">
        <f t="shared" si="10"/>
        <v>1</v>
      </c>
      <c r="Y207" s="3">
        <f t="shared" si="11"/>
        <v>0</v>
      </c>
      <c r="Z207" s="10">
        <f t="shared" si="12"/>
        <v>0</v>
      </c>
      <c r="AA207" s="13">
        <f t="shared" si="13"/>
        <v>0</v>
      </c>
    </row>
    <row r="208" spans="1:27" ht="14.25">
      <c r="A208" s="3">
        <f t="shared" si="32"/>
        <v>206</v>
      </c>
      <c r="B208" s="29">
        <f t="shared" si="20"/>
        <v>42982</v>
      </c>
      <c r="C208" s="5">
        <f>35/66</f>
        <v>0.5303030303030303</v>
      </c>
      <c r="D208" s="5">
        <f t="shared" si="27"/>
        <v>0.4696969696969697</v>
      </c>
      <c r="E208" s="6">
        <f t="shared" si="1"/>
        <v>0.06060606060606055</v>
      </c>
      <c r="F208" s="5">
        <v>0.6811</v>
      </c>
      <c r="G208" s="5">
        <v>0.6843</v>
      </c>
      <c r="H208" s="5">
        <v>0.6774</v>
      </c>
      <c r="I208" s="6">
        <f t="shared" si="2"/>
        <v>0.006900000000000017</v>
      </c>
      <c r="J208" s="6">
        <f t="shared" si="29"/>
        <v>0</v>
      </c>
      <c r="K208" s="8">
        <v>0.75</v>
      </c>
      <c r="L208" s="9" t="s">
        <v>5</v>
      </c>
      <c r="M208" s="3">
        <f t="shared" si="4"/>
        <v>0</v>
      </c>
      <c r="N208" s="30">
        <f t="shared" si="30"/>
        <v>0</v>
      </c>
      <c r="O208" s="3">
        <f t="shared" si="31"/>
        <v>0</v>
      </c>
      <c r="P208" s="10">
        <f t="shared" si="7"/>
        <v>0</v>
      </c>
      <c r="Q208" s="6">
        <f t="shared" si="14"/>
        <v>0.49504950495049505</v>
      </c>
      <c r="R208" s="11">
        <v>2470.35</v>
      </c>
      <c r="S208" s="11">
        <v>2461.43</v>
      </c>
      <c r="T208" s="12">
        <f t="shared" si="8"/>
        <v>-8.920000000000073</v>
      </c>
      <c r="U208" s="13">
        <f t="shared" si="9"/>
        <v>-0.0036108243771125845</v>
      </c>
      <c r="V208" s="6">
        <f t="shared" si="16"/>
        <v>0.45454545454545453</v>
      </c>
      <c r="W208" s="6">
        <f t="shared" si="28"/>
        <v>0.5098039215686274</v>
      </c>
      <c r="X208" s="3">
        <f t="shared" si="10"/>
        <v>1</v>
      </c>
      <c r="Y208" s="3">
        <f t="shared" si="11"/>
        <v>0</v>
      </c>
      <c r="Z208" s="10">
        <f t="shared" si="12"/>
        <v>0</v>
      </c>
      <c r="AA208" s="13">
        <f t="shared" si="13"/>
        <v>0</v>
      </c>
    </row>
    <row r="209" spans="1:27" ht="14.25">
      <c r="A209" s="3">
        <f t="shared" si="32"/>
        <v>207</v>
      </c>
      <c r="B209" s="29">
        <f t="shared" si="20"/>
        <v>42989</v>
      </c>
      <c r="C209" s="5">
        <f>23/57</f>
        <v>0.40350877192982454</v>
      </c>
      <c r="D209" s="5">
        <f t="shared" si="27"/>
        <v>0.5964912280701755</v>
      </c>
      <c r="E209" s="6">
        <f t="shared" si="1"/>
        <v>-0.19298245614035098</v>
      </c>
      <c r="F209" s="5">
        <v>0.6939</v>
      </c>
      <c r="G209" s="5">
        <v>0.7043</v>
      </c>
      <c r="H209" s="5">
        <v>0.6868000000000001</v>
      </c>
      <c r="I209" s="6">
        <f t="shared" si="2"/>
        <v>0.01749999999999996</v>
      </c>
      <c r="J209" s="6">
        <f t="shared" si="29"/>
        <v>0</v>
      </c>
      <c r="K209" s="8">
        <v>0.73</v>
      </c>
      <c r="L209" s="9" t="s">
        <v>5</v>
      </c>
      <c r="M209" s="3">
        <f t="shared" si="4"/>
        <v>0</v>
      </c>
      <c r="N209" s="30">
        <f t="shared" si="30"/>
        <v>0</v>
      </c>
      <c r="O209" s="3">
        <f t="shared" si="31"/>
        <v>0</v>
      </c>
      <c r="P209" s="10">
        <f t="shared" si="7"/>
        <v>1</v>
      </c>
      <c r="Q209" s="6">
        <f t="shared" si="14"/>
        <v>0.49261083743842365</v>
      </c>
      <c r="R209" s="11">
        <v>2474.52</v>
      </c>
      <c r="S209" s="11">
        <v>2500.23</v>
      </c>
      <c r="T209" s="12">
        <f t="shared" si="8"/>
        <v>25.710000000000036</v>
      </c>
      <c r="U209" s="13">
        <f t="shared" si="9"/>
        <v>0.010389893797585</v>
      </c>
      <c r="V209" s="6">
        <f t="shared" si="16"/>
        <v>0.45454545454545453</v>
      </c>
      <c r="W209" s="6">
        <f t="shared" si="28"/>
        <v>0.5098039215686274</v>
      </c>
      <c r="X209" s="3">
        <f t="shared" si="10"/>
        <v>0</v>
      </c>
      <c r="Y209" s="3">
        <f t="shared" si="11"/>
        <v>0</v>
      </c>
      <c r="Z209" s="10">
        <f t="shared" si="12"/>
        <v>0</v>
      </c>
      <c r="AA209" s="13">
        <f t="shared" si="13"/>
        <v>0</v>
      </c>
    </row>
    <row r="210" spans="1:27" ht="14.25">
      <c r="A210" s="3">
        <f t="shared" si="32"/>
        <v>208</v>
      </c>
      <c r="B210" s="29">
        <f t="shared" si="20"/>
        <v>42996</v>
      </c>
      <c r="C210" s="5">
        <f>21/39</f>
        <v>0.5384615384615384</v>
      </c>
      <c r="D210" s="5">
        <f t="shared" si="27"/>
        <v>0.46153846153846156</v>
      </c>
      <c r="E210" s="6">
        <f t="shared" si="1"/>
        <v>0.07692307692307687</v>
      </c>
      <c r="F210" s="5">
        <v>0.6923</v>
      </c>
      <c r="G210" s="5">
        <v>0.7167</v>
      </c>
      <c r="H210" s="5">
        <v>0.6639</v>
      </c>
      <c r="I210" s="6">
        <f t="shared" si="2"/>
        <v>0.05279999999999996</v>
      </c>
      <c r="J210" s="6">
        <f t="shared" si="29"/>
        <v>0</v>
      </c>
      <c r="K210" s="8">
        <v>0.68</v>
      </c>
      <c r="L210" s="9" t="s">
        <v>5</v>
      </c>
      <c r="M210" s="3">
        <f t="shared" si="4"/>
        <v>0</v>
      </c>
      <c r="N210" s="30">
        <f t="shared" si="30"/>
        <v>0</v>
      </c>
      <c r="O210" s="3">
        <f t="shared" si="31"/>
        <v>0</v>
      </c>
      <c r="P210" s="10">
        <f t="shared" si="7"/>
        <v>0</v>
      </c>
      <c r="Q210" s="6">
        <f t="shared" si="14"/>
        <v>0.49019607843137253</v>
      </c>
      <c r="R210" s="11">
        <v>2502.51</v>
      </c>
      <c r="S210" s="11">
        <v>2502.22</v>
      </c>
      <c r="T210" s="12">
        <f t="shared" si="8"/>
        <v>-0.29000000000041837</v>
      </c>
      <c r="U210" s="13">
        <f t="shared" si="9"/>
        <v>-0.00011588365281274334</v>
      </c>
      <c r="V210" s="6">
        <f t="shared" si="16"/>
        <v>0.45454545454545453</v>
      </c>
      <c r="W210" s="6">
        <f t="shared" si="28"/>
        <v>0.5098039215686274</v>
      </c>
      <c r="X210" s="3">
        <f t="shared" si="10"/>
        <v>1</v>
      </c>
      <c r="Y210" s="3">
        <f t="shared" si="11"/>
        <v>0</v>
      </c>
      <c r="Z210" s="10">
        <f t="shared" si="12"/>
        <v>0</v>
      </c>
      <c r="AA210" s="13">
        <f t="shared" si="13"/>
        <v>0</v>
      </c>
    </row>
    <row r="211" spans="1:27" ht="14.25">
      <c r="A211" s="3">
        <f t="shared" si="32"/>
        <v>209</v>
      </c>
      <c r="B211" s="29">
        <f t="shared" si="20"/>
        <v>43003</v>
      </c>
      <c r="C211" s="5">
        <f>25/57</f>
        <v>0.43859649122807015</v>
      </c>
      <c r="D211" s="5">
        <f t="shared" si="27"/>
        <v>0.5614035087719298</v>
      </c>
      <c r="E211" s="6">
        <f t="shared" si="1"/>
        <v>-0.12280701754385964</v>
      </c>
      <c r="F211" s="5">
        <v>0.6754000000000001</v>
      </c>
      <c r="G211" s="5">
        <v>0.672</v>
      </c>
      <c r="H211" s="5">
        <v>0.6781</v>
      </c>
      <c r="I211" s="6">
        <f t="shared" si="2"/>
        <v>-0.006099999999999994</v>
      </c>
      <c r="J211" s="6">
        <f t="shared" si="29"/>
        <v>0</v>
      </c>
      <c r="K211" s="8">
        <v>0.63</v>
      </c>
      <c r="L211" s="9" t="s">
        <v>5</v>
      </c>
      <c r="M211" s="3">
        <f t="shared" si="4"/>
        <v>0</v>
      </c>
      <c r="N211" s="30">
        <f t="shared" si="30"/>
        <v>0</v>
      </c>
      <c r="O211" s="3">
        <f t="shared" si="31"/>
        <v>0</v>
      </c>
      <c r="P211" s="10">
        <f t="shared" si="7"/>
        <v>1</v>
      </c>
      <c r="Q211" s="6">
        <f t="shared" si="14"/>
        <v>0.4878048780487805</v>
      </c>
      <c r="R211" s="11">
        <v>2499.39</v>
      </c>
      <c r="S211" s="11">
        <v>2519.36</v>
      </c>
      <c r="T211" s="12">
        <f t="shared" si="8"/>
        <v>19.970000000000255</v>
      </c>
      <c r="U211" s="13">
        <f t="shared" si="9"/>
        <v>0.007989949547689739</v>
      </c>
      <c r="V211" s="6">
        <f t="shared" si="16"/>
        <v>0.36363636363636365</v>
      </c>
      <c r="W211" s="6">
        <f t="shared" si="28"/>
        <v>0.49019607843137253</v>
      </c>
      <c r="X211" s="3">
        <f t="shared" si="10"/>
        <v>0</v>
      </c>
      <c r="Y211" s="3">
        <f t="shared" si="11"/>
        <v>1</v>
      </c>
      <c r="Z211" s="10">
        <f t="shared" si="12"/>
        <v>0</v>
      </c>
      <c r="AA211" s="13">
        <f t="shared" si="13"/>
        <v>0</v>
      </c>
    </row>
    <row r="212" spans="1:27" ht="14.25">
      <c r="A212" s="3">
        <f t="shared" si="32"/>
        <v>210</v>
      </c>
      <c r="B212" s="29">
        <f t="shared" si="20"/>
        <v>43010</v>
      </c>
      <c r="C212" s="5">
        <f>33/50</f>
        <v>0.66</v>
      </c>
      <c r="D212" s="5">
        <f t="shared" si="27"/>
        <v>0.33999999999999997</v>
      </c>
      <c r="E212" s="6">
        <f t="shared" si="1"/>
        <v>0.32000000000000006</v>
      </c>
      <c r="F212" s="5">
        <v>0.69</v>
      </c>
      <c r="G212" s="5">
        <v>0.6955</v>
      </c>
      <c r="H212" s="5">
        <v>0.6794</v>
      </c>
      <c r="I212" s="6">
        <f t="shared" si="2"/>
        <v>0.016100000000000003</v>
      </c>
      <c r="J212" s="6">
        <f t="shared" si="29"/>
        <v>0</v>
      </c>
      <c r="K212" s="8">
        <v>0.61</v>
      </c>
      <c r="L212" s="9" t="s">
        <v>5</v>
      </c>
      <c r="M212" s="3">
        <f t="shared" si="4"/>
        <v>0</v>
      </c>
      <c r="N212" s="30">
        <f t="shared" si="30"/>
        <v>0</v>
      </c>
      <c r="O212" s="3">
        <f t="shared" si="31"/>
        <v>1</v>
      </c>
      <c r="P212" s="10">
        <f t="shared" si="7"/>
        <v>1</v>
      </c>
      <c r="Q212" s="6">
        <f t="shared" si="14"/>
        <v>0.49029126213592233</v>
      </c>
      <c r="R212" s="11">
        <v>2521.2</v>
      </c>
      <c r="S212" s="11">
        <v>2549.33</v>
      </c>
      <c r="T212" s="12">
        <f t="shared" si="8"/>
        <v>28.13000000000011</v>
      </c>
      <c r="U212" s="13">
        <f t="shared" si="9"/>
        <v>0.011157385372045102</v>
      </c>
      <c r="V212" s="6">
        <f t="shared" si="16"/>
        <v>0.36363636363636365</v>
      </c>
      <c r="W212" s="6">
        <f t="shared" si="28"/>
        <v>0.49019607843137253</v>
      </c>
      <c r="X212" s="3">
        <f t="shared" si="10"/>
        <v>1</v>
      </c>
      <c r="Y212" s="3">
        <f t="shared" si="11"/>
        <v>0</v>
      </c>
      <c r="Z212" s="10">
        <f t="shared" si="12"/>
        <v>0</v>
      </c>
      <c r="AA212" s="13">
        <f t="shared" si="13"/>
        <v>0</v>
      </c>
    </row>
    <row r="213" spans="1:27" ht="14.25">
      <c r="A213" s="3">
        <f t="shared" si="32"/>
        <v>211</v>
      </c>
      <c r="B213" s="29">
        <f t="shared" si="20"/>
        <v>43017</v>
      </c>
      <c r="C213" s="5">
        <f>14/46</f>
        <v>0.30434782608695654</v>
      </c>
      <c r="D213" s="5">
        <f t="shared" si="27"/>
        <v>0.6956521739130435</v>
      </c>
      <c r="E213" s="6">
        <f t="shared" si="1"/>
        <v>-0.3913043478260869</v>
      </c>
      <c r="F213" s="5">
        <v>0.6837000000000001</v>
      </c>
      <c r="G213" s="5">
        <v>0.6167</v>
      </c>
      <c r="H213" s="5">
        <v>0.7094</v>
      </c>
      <c r="I213" s="6">
        <f t="shared" si="2"/>
        <v>-0.0927</v>
      </c>
      <c r="J213" s="6">
        <f t="shared" si="29"/>
        <v>0</v>
      </c>
      <c r="K213" s="8">
        <v>0.55</v>
      </c>
      <c r="L213" s="9" t="s">
        <v>5</v>
      </c>
      <c r="M213" s="3">
        <f t="shared" si="4"/>
        <v>0</v>
      </c>
      <c r="N213" s="30">
        <f t="shared" si="30"/>
        <v>0</v>
      </c>
      <c r="O213" s="3">
        <f t="shared" si="31"/>
        <v>0</v>
      </c>
      <c r="P213" s="10">
        <f t="shared" si="7"/>
        <v>1</v>
      </c>
      <c r="Q213" s="6">
        <f t="shared" si="14"/>
        <v>0.48792270531400966</v>
      </c>
      <c r="R213" s="11">
        <v>2551.39</v>
      </c>
      <c r="S213" s="11">
        <v>2553.17</v>
      </c>
      <c r="T213" s="12">
        <f t="shared" si="8"/>
        <v>1.7800000000002</v>
      </c>
      <c r="U213" s="13">
        <f t="shared" si="9"/>
        <v>0.0006976589231752888</v>
      </c>
      <c r="V213" s="6">
        <f t="shared" si="16"/>
        <v>0.2727272727272727</v>
      </c>
      <c r="W213" s="6">
        <f t="shared" si="28"/>
        <v>0.49019607843137253</v>
      </c>
      <c r="X213" s="3">
        <f t="shared" si="10"/>
        <v>0</v>
      </c>
      <c r="Y213" s="3">
        <f t="shared" si="11"/>
        <v>1</v>
      </c>
      <c r="Z213" s="10">
        <f t="shared" si="12"/>
        <v>0</v>
      </c>
      <c r="AA213" s="13">
        <f t="shared" si="13"/>
        <v>0</v>
      </c>
    </row>
    <row r="214" spans="1:27" ht="14.25">
      <c r="A214" s="3">
        <f t="shared" si="32"/>
        <v>212</v>
      </c>
      <c r="B214" s="29">
        <f t="shared" si="20"/>
        <v>43024</v>
      </c>
      <c r="C214" s="5">
        <f>21/39</f>
        <v>0.5384615384615384</v>
      </c>
      <c r="D214" s="5">
        <f t="shared" si="27"/>
        <v>0.46153846153846156</v>
      </c>
      <c r="E214" s="6">
        <f t="shared" si="1"/>
        <v>0.07692307692307687</v>
      </c>
      <c r="F214" s="5">
        <v>0.6513</v>
      </c>
      <c r="G214" s="5">
        <v>0.6548</v>
      </c>
      <c r="H214" s="5">
        <v>0.6472</v>
      </c>
      <c r="I214" s="6">
        <f t="shared" si="2"/>
        <v>0.007600000000000051</v>
      </c>
      <c r="J214" s="6">
        <f t="shared" si="29"/>
        <v>0</v>
      </c>
      <c r="K214" s="8">
        <v>0.59</v>
      </c>
      <c r="L214" s="9" t="s">
        <v>5</v>
      </c>
      <c r="M214" s="3">
        <f t="shared" si="4"/>
        <v>0</v>
      </c>
      <c r="N214" s="30">
        <f t="shared" si="30"/>
        <v>0</v>
      </c>
      <c r="O214" s="3">
        <f t="shared" si="31"/>
        <v>1</v>
      </c>
      <c r="P214" s="10">
        <f t="shared" si="7"/>
        <v>1</v>
      </c>
      <c r="Q214" s="6">
        <f t="shared" si="14"/>
        <v>0.49038461538461536</v>
      </c>
      <c r="R214" s="11">
        <v>2555.57</v>
      </c>
      <c r="S214" s="11">
        <v>2575.21</v>
      </c>
      <c r="T214" s="12">
        <f t="shared" si="8"/>
        <v>19.639999999999873</v>
      </c>
      <c r="U214" s="13">
        <f t="shared" si="9"/>
        <v>0.007685173953364561</v>
      </c>
      <c r="V214" s="6">
        <f t="shared" si="16"/>
        <v>0.36363636363636365</v>
      </c>
      <c r="W214" s="6">
        <f t="shared" si="28"/>
        <v>0.49019607843137253</v>
      </c>
      <c r="X214" s="3">
        <f t="shared" si="10"/>
        <v>1</v>
      </c>
      <c r="Y214" s="3">
        <f t="shared" si="11"/>
        <v>0</v>
      </c>
      <c r="Z214" s="10">
        <f t="shared" si="12"/>
        <v>0</v>
      </c>
      <c r="AA214" s="13">
        <f t="shared" si="13"/>
        <v>0</v>
      </c>
    </row>
    <row r="215" spans="1:27" ht="14.25">
      <c r="A215" s="3">
        <f t="shared" si="32"/>
        <v>213</v>
      </c>
      <c r="B215" s="29">
        <f t="shared" si="20"/>
        <v>43031</v>
      </c>
      <c r="C215" s="5">
        <f>25/41</f>
        <v>0.6097560975609756</v>
      </c>
      <c r="D215" s="5">
        <f t="shared" si="27"/>
        <v>0.3902439024390244</v>
      </c>
      <c r="E215" s="6">
        <f t="shared" si="1"/>
        <v>0.2195121951219512</v>
      </c>
      <c r="F215" s="5">
        <v>0.6805</v>
      </c>
      <c r="G215" s="5">
        <v>0.7</v>
      </c>
      <c r="H215" s="5">
        <v>0.65</v>
      </c>
      <c r="I215" s="6">
        <f t="shared" si="2"/>
        <v>0.04999999999999993</v>
      </c>
      <c r="J215" s="6">
        <f t="shared" si="29"/>
        <v>0</v>
      </c>
      <c r="K215" s="8">
        <v>0.62</v>
      </c>
      <c r="L215" s="9" t="s">
        <v>5</v>
      </c>
      <c r="M215" s="3">
        <f t="shared" si="4"/>
        <v>0</v>
      </c>
      <c r="N215" s="30">
        <f t="shared" si="30"/>
        <v>0</v>
      </c>
      <c r="O215" s="3">
        <f t="shared" si="31"/>
        <v>1</v>
      </c>
      <c r="P215" s="10">
        <f t="shared" si="7"/>
        <v>1</v>
      </c>
      <c r="Q215" s="6">
        <f t="shared" si="14"/>
        <v>0.49282296650717705</v>
      </c>
      <c r="R215" s="11">
        <v>2578.08</v>
      </c>
      <c r="S215" s="11">
        <v>2581.07</v>
      </c>
      <c r="T215" s="12">
        <f t="shared" si="8"/>
        <v>2.9900000000002365</v>
      </c>
      <c r="U215" s="13">
        <f t="shared" si="9"/>
        <v>0.0011597778191523292</v>
      </c>
      <c r="V215" s="6">
        <f t="shared" si="16"/>
        <v>0.36363636363636365</v>
      </c>
      <c r="W215" s="6">
        <f t="shared" si="28"/>
        <v>0.49019607843137253</v>
      </c>
      <c r="X215" s="3">
        <f t="shared" si="10"/>
        <v>1</v>
      </c>
      <c r="Y215" s="3">
        <f t="shared" si="11"/>
        <v>0</v>
      </c>
      <c r="Z215" s="10">
        <f t="shared" si="12"/>
        <v>0</v>
      </c>
      <c r="AA215" s="13">
        <f t="shared" si="13"/>
        <v>0</v>
      </c>
    </row>
    <row r="216" spans="1:27" ht="14.25">
      <c r="A216" s="3">
        <f t="shared" si="32"/>
        <v>214</v>
      </c>
      <c r="B216" s="29">
        <f t="shared" si="20"/>
        <v>43038</v>
      </c>
      <c r="C216" s="5">
        <f>35/55</f>
        <v>0.6363636363636364</v>
      </c>
      <c r="D216" s="5">
        <f t="shared" si="27"/>
        <v>0.36363636363636365</v>
      </c>
      <c r="E216" s="6">
        <f t="shared" si="1"/>
        <v>0.2727272727272727</v>
      </c>
      <c r="F216" s="5">
        <v>0.7091</v>
      </c>
      <c r="G216" s="5">
        <v>0.6972</v>
      </c>
      <c r="H216" s="5">
        <v>0.7315999999999999</v>
      </c>
      <c r="I216" s="6">
        <f t="shared" si="2"/>
        <v>-0.034399999999999875</v>
      </c>
      <c r="J216" s="6">
        <f t="shared" si="29"/>
        <v>0</v>
      </c>
      <c r="K216" s="8">
        <v>0.52</v>
      </c>
      <c r="L216" s="9" t="s">
        <v>28</v>
      </c>
      <c r="M216" s="3">
        <f t="shared" si="4"/>
        <v>0</v>
      </c>
      <c r="N216" s="30">
        <f t="shared" si="30"/>
        <v>0</v>
      </c>
      <c r="O216" s="3">
        <f t="shared" si="31"/>
        <v>1</v>
      </c>
      <c r="P216" s="10">
        <f t="shared" si="7"/>
        <v>1</v>
      </c>
      <c r="Q216" s="6">
        <f t="shared" si="14"/>
        <v>0.49523809523809526</v>
      </c>
      <c r="R216" s="11">
        <v>2577.75</v>
      </c>
      <c r="S216" s="11">
        <v>2587.84</v>
      </c>
      <c r="T216" s="12">
        <f t="shared" si="8"/>
        <v>10.090000000000146</v>
      </c>
      <c r="U216" s="13">
        <f t="shared" si="9"/>
        <v>0.00391426631752503</v>
      </c>
      <c r="V216" s="6">
        <f t="shared" si="16"/>
        <v>0.45454545454545453</v>
      </c>
      <c r="W216" s="6">
        <f t="shared" si="28"/>
        <v>0.5098039215686274</v>
      </c>
      <c r="X216" s="3">
        <f t="shared" si="10"/>
        <v>1</v>
      </c>
      <c r="Y216" s="3">
        <f t="shared" si="11"/>
        <v>1</v>
      </c>
      <c r="Z216" s="10">
        <f t="shared" si="12"/>
        <v>1</v>
      </c>
      <c r="AA216" s="13">
        <f t="shared" si="13"/>
        <v>0.00391426631752503</v>
      </c>
    </row>
    <row r="217" spans="1:27" ht="14.25">
      <c r="A217" s="3">
        <f t="shared" si="32"/>
        <v>215</v>
      </c>
      <c r="B217" s="29">
        <f t="shared" si="20"/>
        <v>43045</v>
      </c>
      <c r="C217" s="5">
        <f>38/60</f>
        <v>0.6333333333333333</v>
      </c>
      <c r="D217" s="5">
        <f t="shared" si="27"/>
        <v>0.3666666666666667</v>
      </c>
      <c r="E217" s="6">
        <f t="shared" si="1"/>
        <v>0.2666666666666666</v>
      </c>
      <c r="F217" s="5">
        <v>0.6567000000000001</v>
      </c>
      <c r="G217" s="5">
        <v>0.6474</v>
      </c>
      <c r="H217" s="5">
        <v>0.6727</v>
      </c>
      <c r="I217" s="6">
        <f t="shared" si="2"/>
        <v>-0.02529999999999999</v>
      </c>
      <c r="J217" s="6">
        <f t="shared" si="29"/>
        <v>0</v>
      </c>
      <c r="K217" s="8">
        <v>0.52</v>
      </c>
      <c r="L217" s="9" t="s">
        <v>28</v>
      </c>
      <c r="M217" s="3">
        <f t="shared" si="4"/>
        <v>0</v>
      </c>
      <c r="N217" s="30">
        <f t="shared" si="30"/>
        <v>0</v>
      </c>
      <c r="O217" s="3">
        <f t="shared" si="31"/>
        <v>0</v>
      </c>
      <c r="P217" s="10">
        <f t="shared" si="7"/>
        <v>0</v>
      </c>
      <c r="Q217" s="6">
        <f t="shared" si="14"/>
        <v>0.4928909952606635</v>
      </c>
      <c r="R217" s="11">
        <v>2587.47</v>
      </c>
      <c r="S217" s="11">
        <v>2582.3</v>
      </c>
      <c r="T217" s="12">
        <f t="shared" si="8"/>
        <v>-5.169999999999618</v>
      </c>
      <c r="U217" s="13">
        <f t="shared" si="9"/>
        <v>-0.001998090799120229</v>
      </c>
      <c r="V217" s="6">
        <f t="shared" si="16"/>
        <v>0.45454545454545453</v>
      </c>
      <c r="W217" s="6">
        <f t="shared" si="28"/>
        <v>0.49019607843137253</v>
      </c>
      <c r="X217" s="3">
        <f t="shared" si="10"/>
        <v>1</v>
      </c>
      <c r="Y217" s="3">
        <f t="shared" si="11"/>
        <v>1</v>
      </c>
      <c r="Z217" s="10">
        <f t="shared" si="12"/>
        <v>0</v>
      </c>
      <c r="AA217" s="13">
        <f t="shared" si="13"/>
        <v>-0.001998090799120229</v>
      </c>
    </row>
    <row r="218" spans="1:27" ht="14.25">
      <c r="A218" s="3">
        <f t="shared" si="32"/>
        <v>216</v>
      </c>
      <c r="B218" s="29">
        <f t="shared" si="20"/>
        <v>43052</v>
      </c>
      <c r="C218" s="5">
        <f>22/43</f>
        <v>0.5116279069767442</v>
      </c>
      <c r="D218" s="5">
        <f t="shared" si="27"/>
        <v>0.4883720930232558</v>
      </c>
      <c r="E218" s="6">
        <f t="shared" si="1"/>
        <v>0.023255813953488413</v>
      </c>
      <c r="F218" s="5">
        <v>0.6406999999999999</v>
      </c>
      <c r="G218" s="5">
        <v>0.6273</v>
      </c>
      <c r="H218" s="5">
        <v>0.6548</v>
      </c>
      <c r="I218" s="6">
        <f t="shared" si="2"/>
        <v>-0.02750000000000008</v>
      </c>
      <c r="J218" s="6">
        <f t="shared" si="29"/>
        <v>0</v>
      </c>
      <c r="K218" s="8">
        <v>0.55</v>
      </c>
      <c r="L218" s="9" t="s">
        <v>28</v>
      </c>
      <c r="M218" s="3">
        <f t="shared" si="4"/>
        <v>0</v>
      </c>
      <c r="N218" s="30">
        <f t="shared" si="30"/>
        <v>0</v>
      </c>
      <c r="O218" s="3">
        <f t="shared" si="31"/>
        <v>1</v>
      </c>
      <c r="P218" s="10">
        <f t="shared" si="7"/>
        <v>1</v>
      </c>
      <c r="Q218" s="6">
        <f t="shared" si="14"/>
        <v>0.49528301886792453</v>
      </c>
      <c r="R218" s="11">
        <v>2576.53</v>
      </c>
      <c r="S218" s="11">
        <v>2578.85</v>
      </c>
      <c r="T218" s="12">
        <f t="shared" si="8"/>
        <v>2.319999999999709</v>
      </c>
      <c r="U218" s="13">
        <f t="shared" si="9"/>
        <v>0.0009004358575291997</v>
      </c>
      <c r="V218" s="6">
        <f t="shared" si="16"/>
        <v>0.45454545454545453</v>
      </c>
      <c r="W218" s="6">
        <f t="shared" si="28"/>
        <v>0.49019607843137253</v>
      </c>
      <c r="X218" s="3">
        <f t="shared" si="10"/>
        <v>1</v>
      </c>
      <c r="Y218" s="3">
        <f t="shared" si="11"/>
        <v>1</v>
      </c>
      <c r="Z218" s="10">
        <f t="shared" si="12"/>
        <v>1</v>
      </c>
      <c r="AA218" s="13">
        <f t="shared" si="13"/>
        <v>0.0009004358575291997</v>
      </c>
    </row>
    <row r="219" spans="1:27" ht="14.25">
      <c r="A219" s="3">
        <f t="shared" si="32"/>
        <v>217</v>
      </c>
      <c r="B219" s="29">
        <f t="shared" si="20"/>
        <v>43059</v>
      </c>
      <c r="C219" s="5">
        <f>23/40</f>
        <v>0.575</v>
      </c>
      <c r="D219" s="5">
        <f t="shared" si="27"/>
        <v>0.42500000000000004</v>
      </c>
      <c r="E219" s="6">
        <f t="shared" si="1"/>
        <v>0.1499999999999999</v>
      </c>
      <c r="F219" s="5">
        <v>0.6713</v>
      </c>
      <c r="G219" s="5">
        <v>0.6848000000000001</v>
      </c>
      <c r="H219" s="5">
        <v>0.6529</v>
      </c>
      <c r="I219" s="6">
        <f t="shared" si="2"/>
        <v>0.03190000000000004</v>
      </c>
      <c r="J219" s="6">
        <f t="shared" si="29"/>
        <v>0</v>
      </c>
      <c r="K219" s="8">
        <v>0.6</v>
      </c>
      <c r="L219" s="9" t="s">
        <v>5</v>
      </c>
      <c r="M219" s="3">
        <f t="shared" si="4"/>
        <v>0</v>
      </c>
      <c r="N219" s="30">
        <f t="shared" si="30"/>
        <v>0</v>
      </c>
      <c r="O219" s="3">
        <f t="shared" si="31"/>
        <v>1</v>
      </c>
      <c r="P219" s="10">
        <f t="shared" si="7"/>
        <v>1</v>
      </c>
      <c r="Q219" s="6">
        <f t="shared" si="14"/>
        <v>0.49765258215962443</v>
      </c>
      <c r="R219" s="11">
        <v>2579.49</v>
      </c>
      <c r="S219" s="11">
        <v>2602.42</v>
      </c>
      <c r="T219" s="12">
        <f t="shared" si="8"/>
        <v>22.93000000000029</v>
      </c>
      <c r="U219" s="13">
        <f t="shared" si="9"/>
        <v>0.00888935409712784</v>
      </c>
      <c r="V219" s="6">
        <f t="shared" si="16"/>
        <v>0.5454545454545454</v>
      </c>
      <c r="W219" s="6">
        <f t="shared" si="28"/>
        <v>0.5098039215686274</v>
      </c>
      <c r="X219" s="3">
        <f t="shared" si="10"/>
        <v>1</v>
      </c>
      <c r="Y219" s="3">
        <f t="shared" si="11"/>
        <v>0</v>
      </c>
      <c r="Z219" s="10">
        <f t="shared" si="12"/>
        <v>0</v>
      </c>
      <c r="AA219" s="13">
        <f t="shared" si="13"/>
        <v>0</v>
      </c>
    </row>
    <row r="220" spans="1:27" ht="14.25">
      <c r="A220" s="3">
        <f t="shared" si="32"/>
        <v>218</v>
      </c>
      <c r="B220" s="29">
        <f t="shared" si="20"/>
        <v>43066</v>
      </c>
      <c r="C220" s="5">
        <f>32/46</f>
        <v>0.6956521739130435</v>
      </c>
      <c r="D220" s="5">
        <f t="shared" si="27"/>
        <v>0.30434782608695654</v>
      </c>
      <c r="E220" s="6">
        <f t="shared" si="1"/>
        <v>0.3913043478260869</v>
      </c>
      <c r="F220" s="5">
        <v>0.7021999999999999</v>
      </c>
      <c r="G220" s="5">
        <v>0.6953</v>
      </c>
      <c r="H220" s="5">
        <v>0.7179000000000001</v>
      </c>
      <c r="I220" s="6">
        <f t="shared" si="2"/>
        <v>-0.022600000000000064</v>
      </c>
      <c r="J220" s="6">
        <f t="shared" si="29"/>
        <v>0</v>
      </c>
      <c r="K220" s="8">
        <v>0.63</v>
      </c>
      <c r="L220" s="9" t="s">
        <v>5</v>
      </c>
      <c r="M220" s="3">
        <f t="shared" si="4"/>
        <v>0</v>
      </c>
      <c r="N220" s="30">
        <f t="shared" si="30"/>
        <v>0</v>
      </c>
      <c r="O220" s="3">
        <f t="shared" si="31"/>
        <v>1</v>
      </c>
      <c r="P220" s="10">
        <f t="shared" si="7"/>
        <v>1</v>
      </c>
      <c r="Q220" s="6">
        <f t="shared" si="14"/>
        <v>0.5</v>
      </c>
      <c r="R220" s="11">
        <v>2602.66</v>
      </c>
      <c r="S220" s="11">
        <v>2642.22</v>
      </c>
      <c r="T220" s="12">
        <f t="shared" si="8"/>
        <v>39.559999999999945</v>
      </c>
      <c r="U220" s="13">
        <f t="shared" si="9"/>
        <v>0.015199834015968259</v>
      </c>
      <c r="V220" s="6">
        <f t="shared" si="16"/>
        <v>0.6363636363636364</v>
      </c>
      <c r="W220" s="6">
        <f t="shared" si="28"/>
        <v>0.5098039215686274</v>
      </c>
      <c r="X220" s="3">
        <f t="shared" si="10"/>
        <v>1</v>
      </c>
      <c r="Y220" s="3">
        <f t="shared" si="11"/>
        <v>1</v>
      </c>
      <c r="Z220" s="10">
        <f t="shared" si="12"/>
        <v>1</v>
      </c>
      <c r="AA220" s="13">
        <f t="shared" si="13"/>
        <v>0.015199834015968259</v>
      </c>
    </row>
    <row r="221" spans="1:27" ht="14.25">
      <c r="A221" s="3">
        <f t="shared" si="32"/>
        <v>219</v>
      </c>
      <c r="B221" s="29">
        <f t="shared" si="20"/>
        <v>43073</v>
      </c>
      <c r="C221" s="5">
        <f>32/50</f>
        <v>0.64</v>
      </c>
      <c r="D221" s="5">
        <f t="shared" si="27"/>
        <v>0.36</v>
      </c>
      <c r="E221" s="6">
        <f t="shared" si="1"/>
        <v>0.28</v>
      </c>
      <c r="F221" s="5">
        <v>0.698</v>
      </c>
      <c r="G221" s="5">
        <v>0.7047</v>
      </c>
      <c r="H221" s="5">
        <v>0.6861</v>
      </c>
      <c r="I221" s="6">
        <f t="shared" si="2"/>
        <v>0.01859999999999995</v>
      </c>
      <c r="J221" s="6">
        <f t="shared" si="29"/>
        <v>0</v>
      </c>
      <c r="K221" s="8">
        <v>0.58</v>
      </c>
      <c r="L221" s="9" t="s">
        <v>5</v>
      </c>
      <c r="M221" s="3">
        <f t="shared" si="4"/>
        <v>0</v>
      </c>
      <c r="N221" s="30">
        <f t="shared" si="30"/>
        <v>0</v>
      </c>
      <c r="O221" s="3">
        <f t="shared" si="31"/>
        <v>0</v>
      </c>
      <c r="P221" s="10">
        <f t="shared" si="7"/>
        <v>0</v>
      </c>
      <c r="Q221" s="6">
        <f t="shared" si="14"/>
        <v>0.49767441860465117</v>
      </c>
      <c r="R221" s="11">
        <v>2657.19</v>
      </c>
      <c r="S221" s="11">
        <v>2651.5</v>
      </c>
      <c r="T221" s="12">
        <f t="shared" si="8"/>
        <v>-5.690000000000055</v>
      </c>
      <c r="U221" s="13">
        <f t="shared" si="9"/>
        <v>-0.002141359857593945</v>
      </c>
      <c r="V221" s="6">
        <f t="shared" si="16"/>
        <v>0.6363636363636364</v>
      </c>
      <c r="W221" s="6">
        <f t="shared" si="28"/>
        <v>0.5098039215686274</v>
      </c>
      <c r="X221" s="3">
        <f t="shared" si="10"/>
        <v>1</v>
      </c>
      <c r="Y221" s="3">
        <f t="shared" si="11"/>
        <v>0</v>
      </c>
      <c r="Z221" s="10">
        <f t="shared" si="12"/>
        <v>0</v>
      </c>
      <c r="AA221" s="13">
        <f t="shared" si="13"/>
        <v>0</v>
      </c>
    </row>
    <row r="222" spans="1:27" ht="14.25">
      <c r="A222" s="3">
        <f t="shared" si="32"/>
        <v>220</v>
      </c>
      <c r="B222" s="29">
        <f t="shared" si="20"/>
        <v>43080</v>
      </c>
      <c r="C222" s="5">
        <f>38/50</f>
        <v>0.76</v>
      </c>
      <c r="D222" s="5">
        <f t="shared" si="27"/>
        <v>0.24</v>
      </c>
      <c r="E222" s="6">
        <f t="shared" si="1"/>
        <v>0.52</v>
      </c>
      <c r="F222" s="5">
        <v>0.688</v>
      </c>
      <c r="G222" s="5">
        <v>0.6803</v>
      </c>
      <c r="H222" s="5">
        <v>0.7125</v>
      </c>
      <c r="I222" s="6">
        <f t="shared" si="2"/>
        <v>-0.032200000000000006</v>
      </c>
      <c r="J222" s="6">
        <f t="shared" si="29"/>
        <v>0</v>
      </c>
      <c r="K222" s="8">
        <v>0.67</v>
      </c>
      <c r="L222" s="9" t="s">
        <v>5</v>
      </c>
      <c r="M222" s="3">
        <f t="shared" si="4"/>
        <v>0</v>
      </c>
      <c r="N222" s="30">
        <f t="shared" si="30"/>
        <v>0</v>
      </c>
      <c r="O222" s="3">
        <f t="shared" si="31"/>
        <v>1</v>
      </c>
      <c r="P222" s="10">
        <f t="shared" si="7"/>
        <v>1</v>
      </c>
      <c r="Q222" s="6">
        <f t="shared" si="14"/>
        <v>0.5</v>
      </c>
      <c r="R222" s="11">
        <v>2652.19</v>
      </c>
      <c r="S222" s="11">
        <v>2675.81</v>
      </c>
      <c r="T222" s="12">
        <f t="shared" si="8"/>
        <v>23.61999999999989</v>
      </c>
      <c r="U222" s="13">
        <f t="shared" si="9"/>
        <v>0.00890584762026849</v>
      </c>
      <c r="V222" s="6">
        <f t="shared" si="16"/>
        <v>0.7272727272727273</v>
      </c>
      <c r="W222" s="6">
        <f t="shared" si="28"/>
        <v>0.5098039215686274</v>
      </c>
      <c r="X222" s="3">
        <f t="shared" si="10"/>
        <v>1</v>
      </c>
      <c r="Y222" s="3">
        <f t="shared" si="11"/>
        <v>1</v>
      </c>
      <c r="Z222" s="10">
        <f t="shared" si="12"/>
        <v>1</v>
      </c>
      <c r="AA222" s="13">
        <f t="shared" si="13"/>
        <v>0.00890584762026849</v>
      </c>
    </row>
    <row r="223" spans="1:27" ht="14.25">
      <c r="A223" s="3">
        <f t="shared" si="32"/>
        <v>221</v>
      </c>
      <c r="B223" s="29">
        <f t="shared" si="20"/>
        <v>43087</v>
      </c>
      <c r="C223" s="5">
        <f>37/47</f>
        <v>0.7872340425531915</v>
      </c>
      <c r="D223" s="5">
        <f t="shared" si="27"/>
        <v>0.21276595744680848</v>
      </c>
      <c r="E223" s="6">
        <f t="shared" si="1"/>
        <v>0.574468085106383</v>
      </c>
      <c r="F223" s="5">
        <v>0.6979000000000001</v>
      </c>
      <c r="G223" s="5">
        <v>0.6892</v>
      </c>
      <c r="H223" s="5">
        <v>0.73</v>
      </c>
      <c r="I223" s="6">
        <f t="shared" si="2"/>
        <v>-0.04079999999999995</v>
      </c>
      <c r="J223" s="6">
        <f t="shared" si="29"/>
        <v>0</v>
      </c>
      <c r="K223" s="8">
        <v>0.7</v>
      </c>
      <c r="L223" s="9" t="s">
        <v>5</v>
      </c>
      <c r="M223" s="3">
        <f t="shared" si="4"/>
        <v>0</v>
      </c>
      <c r="N223" s="30">
        <f t="shared" si="30"/>
        <v>0</v>
      </c>
      <c r="O223" s="3">
        <f t="shared" si="31"/>
        <v>0</v>
      </c>
      <c r="P223" s="10">
        <f t="shared" si="7"/>
        <v>0</v>
      </c>
      <c r="Q223" s="6">
        <f t="shared" si="14"/>
        <v>0.4976958525345622</v>
      </c>
      <c r="R223" s="11">
        <v>2685.92</v>
      </c>
      <c r="S223" s="11">
        <v>2683.34</v>
      </c>
      <c r="T223" s="12">
        <f t="shared" si="8"/>
        <v>-2.5799999999999272</v>
      </c>
      <c r="U223" s="13">
        <f t="shared" si="9"/>
        <v>-0.0009605647227020638</v>
      </c>
      <c r="V223" s="6">
        <f t="shared" si="16"/>
        <v>0.6363636363636364</v>
      </c>
      <c r="W223" s="6">
        <f t="shared" si="28"/>
        <v>0.5098039215686274</v>
      </c>
      <c r="X223" s="3">
        <f t="shared" si="10"/>
        <v>1</v>
      </c>
      <c r="Y223" s="3">
        <f t="shared" si="11"/>
        <v>1</v>
      </c>
      <c r="Z223" s="10">
        <f t="shared" si="12"/>
        <v>0</v>
      </c>
      <c r="AA223" s="13">
        <f t="shared" si="13"/>
        <v>-0.0009605647227020638</v>
      </c>
    </row>
    <row r="224" spans="1:27" ht="14.25">
      <c r="A224" s="3">
        <f t="shared" si="32"/>
        <v>222</v>
      </c>
      <c r="B224" s="29">
        <f t="shared" si="20"/>
        <v>43094</v>
      </c>
      <c r="C224" s="5">
        <f>33/47</f>
        <v>0.7021276595744681</v>
      </c>
      <c r="D224" s="5">
        <f t="shared" si="27"/>
        <v>0.2978723404255319</v>
      </c>
      <c r="E224" s="6">
        <f t="shared" si="1"/>
        <v>0.4042553191489362</v>
      </c>
      <c r="F224" s="5">
        <v>0.6915</v>
      </c>
      <c r="G224" s="5">
        <v>0.7015</v>
      </c>
      <c r="H224" s="5">
        <v>0.6679</v>
      </c>
      <c r="I224" s="6">
        <f t="shared" si="2"/>
        <v>0.03359999999999996</v>
      </c>
      <c r="J224" s="6">
        <f t="shared" si="29"/>
        <v>0</v>
      </c>
      <c r="K224" s="8">
        <v>0.55</v>
      </c>
      <c r="L224" s="9" t="s">
        <v>28</v>
      </c>
      <c r="M224" s="3">
        <f t="shared" si="4"/>
        <v>0</v>
      </c>
      <c r="N224" s="30">
        <f t="shared" si="30"/>
        <v>0</v>
      </c>
      <c r="O224" s="3">
        <f t="shared" si="31"/>
        <v>0</v>
      </c>
      <c r="P224" s="10">
        <f t="shared" si="7"/>
        <v>0</v>
      </c>
      <c r="Q224" s="6">
        <f t="shared" si="14"/>
        <v>0.4954128440366973</v>
      </c>
      <c r="R224" s="11">
        <v>2679.09</v>
      </c>
      <c r="S224" s="11">
        <v>2673.61</v>
      </c>
      <c r="T224" s="12">
        <f t="shared" si="8"/>
        <v>-5.480000000000018</v>
      </c>
      <c r="U224" s="13">
        <f t="shared" si="9"/>
        <v>-0.002045470663546211</v>
      </c>
      <c r="V224" s="6">
        <f t="shared" si="16"/>
        <v>0.6363636363636364</v>
      </c>
      <c r="W224" s="6">
        <f t="shared" si="28"/>
        <v>0.5098039215686274</v>
      </c>
      <c r="X224" s="3">
        <f t="shared" si="10"/>
        <v>1</v>
      </c>
      <c r="Y224" s="3">
        <f t="shared" si="11"/>
        <v>0</v>
      </c>
      <c r="Z224" s="10">
        <f t="shared" si="12"/>
        <v>0</v>
      </c>
      <c r="AA224" s="13">
        <f t="shared" si="13"/>
        <v>0</v>
      </c>
    </row>
    <row r="225" spans="1:27" ht="14.25">
      <c r="A225" s="3">
        <f t="shared" si="32"/>
        <v>223</v>
      </c>
      <c r="B225" s="29">
        <f t="shared" si="20"/>
        <v>43101</v>
      </c>
      <c r="C225" s="5">
        <f>23/45</f>
        <v>0.5111111111111111</v>
      </c>
      <c r="D225" s="5">
        <f t="shared" si="27"/>
        <v>0.48888888888888893</v>
      </c>
      <c r="E225" s="6">
        <f t="shared" si="1"/>
        <v>0.022222222222222143</v>
      </c>
      <c r="F225" s="5">
        <v>0.6911</v>
      </c>
      <c r="G225" s="5">
        <v>0.6696</v>
      </c>
      <c r="H225" s="5">
        <v>0.7136</v>
      </c>
      <c r="I225" s="6">
        <f t="shared" si="2"/>
        <v>-0.04400000000000004</v>
      </c>
      <c r="J225" s="6">
        <f t="shared" si="29"/>
        <v>0</v>
      </c>
      <c r="K225" s="8">
        <v>0.52</v>
      </c>
      <c r="L225" s="9" t="s">
        <v>28</v>
      </c>
      <c r="M225" s="3">
        <f t="shared" si="4"/>
        <v>0</v>
      </c>
      <c r="N225" s="30">
        <f t="shared" si="30"/>
        <v>0</v>
      </c>
      <c r="O225" s="3">
        <f t="shared" si="31"/>
        <v>1</v>
      </c>
      <c r="P225" s="10">
        <f t="shared" si="7"/>
        <v>1</v>
      </c>
      <c r="Q225" s="6">
        <f t="shared" si="14"/>
        <v>0.4977168949771689</v>
      </c>
      <c r="R225" s="11">
        <v>2683.73</v>
      </c>
      <c r="S225" s="11">
        <v>2743.15</v>
      </c>
      <c r="T225" s="12">
        <f t="shared" si="8"/>
        <v>59.42000000000007</v>
      </c>
      <c r="U225" s="13">
        <f t="shared" si="9"/>
        <v>0.022140826387155216</v>
      </c>
      <c r="V225" s="6">
        <f t="shared" si="16"/>
        <v>0.6363636363636364</v>
      </c>
      <c r="W225" s="6">
        <f t="shared" si="28"/>
        <v>0.5098039215686274</v>
      </c>
      <c r="X225" s="3">
        <f t="shared" si="10"/>
        <v>1</v>
      </c>
      <c r="Y225" s="3">
        <f t="shared" si="11"/>
        <v>1</v>
      </c>
      <c r="Z225" s="10">
        <f t="shared" si="12"/>
        <v>1</v>
      </c>
      <c r="AA225" s="13">
        <f t="shared" si="13"/>
        <v>0.022140826387155216</v>
      </c>
    </row>
    <row r="226" spans="1:27" ht="14.25">
      <c r="A226" s="3">
        <f t="shared" si="32"/>
        <v>224</v>
      </c>
      <c r="B226" s="29">
        <f t="shared" si="20"/>
        <v>43108</v>
      </c>
      <c r="C226" s="5">
        <f>34/51</f>
        <v>0.6666666666666666</v>
      </c>
      <c r="D226" s="5">
        <f t="shared" si="27"/>
        <v>0.33333333333333337</v>
      </c>
      <c r="E226" s="6">
        <f t="shared" si="1"/>
        <v>0.33333333333333326</v>
      </c>
      <c r="F226" s="5">
        <v>0.7225</v>
      </c>
      <c r="G226" s="5">
        <v>0.7162000000000001</v>
      </c>
      <c r="H226" s="5">
        <v>0.7353000000000001</v>
      </c>
      <c r="I226" s="6">
        <f t="shared" si="2"/>
        <v>-0.019100000000000006</v>
      </c>
      <c r="J226" s="6">
        <f t="shared" si="29"/>
        <v>0</v>
      </c>
      <c r="K226" s="8">
        <v>0.64</v>
      </c>
      <c r="L226" s="9" t="s">
        <v>5</v>
      </c>
      <c r="M226" s="3">
        <f t="shared" si="4"/>
        <v>0</v>
      </c>
      <c r="N226" s="30">
        <f t="shared" si="30"/>
        <v>0</v>
      </c>
      <c r="O226" s="3">
        <f t="shared" si="31"/>
        <v>1</v>
      </c>
      <c r="P226" s="10">
        <f t="shared" si="7"/>
        <v>1</v>
      </c>
      <c r="Q226" s="6">
        <f t="shared" si="14"/>
        <v>0.5</v>
      </c>
      <c r="R226" s="11">
        <v>2742.67</v>
      </c>
      <c r="S226" s="11">
        <v>2786.24</v>
      </c>
      <c r="T226" s="12">
        <f t="shared" si="8"/>
        <v>43.56999999999971</v>
      </c>
      <c r="U226" s="13">
        <f t="shared" si="9"/>
        <v>0.01588597972049124</v>
      </c>
      <c r="V226" s="6">
        <f t="shared" si="16"/>
        <v>0.6363636363636364</v>
      </c>
      <c r="W226" s="6">
        <f t="shared" si="28"/>
        <v>0.5098039215686274</v>
      </c>
      <c r="X226" s="3">
        <f t="shared" si="10"/>
        <v>1</v>
      </c>
      <c r="Y226" s="3">
        <f t="shared" si="11"/>
        <v>1</v>
      </c>
      <c r="Z226" s="10">
        <f t="shared" si="12"/>
        <v>1</v>
      </c>
      <c r="AA226" s="13">
        <f t="shared" si="13"/>
        <v>0.01588597972049124</v>
      </c>
    </row>
    <row r="227" spans="1:27" ht="14.25">
      <c r="A227" s="3">
        <f t="shared" si="32"/>
        <v>225</v>
      </c>
      <c r="B227" s="29">
        <f t="shared" si="20"/>
        <v>43115</v>
      </c>
      <c r="C227" s="5">
        <f>46/62</f>
        <v>0.7419354838709677</v>
      </c>
      <c r="D227" s="5">
        <f t="shared" si="27"/>
        <v>0.25806451612903225</v>
      </c>
      <c r="E227" s="6">
        <f t="shared" si="1"/>
        <v>0.4838709677419355</v>
      </c>
      <c r="F227" s="5">
        <v>0.6976</v>
      </c>
      <c r="G227" s="5">
        <v>0.7098</v>
      </c>
      <c r="H227" s="5">
        <v>0.6625</v>
      </c>
      <c r="I227" s="6">
        <f t="shared" si="2"/>
        <v>0.04730000000000001</v>
      </c>
      <c r="J227" s="6">
        <f t="shared" si="29"/>
        <v>0</v>
      </c>
      <c r="K227" s="8">
        <v>0.73</v>
      </c>
      <c r="L227" s="9" t="s">
        <v>5</v>
      </c>
      <c r="M227" s="3">
        <f t="shared" si="4"/>
        <v>0</v>
      </c>
      <c r="N227" s="30">
        <f t="shared" si="30"/>
        <v>0</v>
      </c>
      <c r="O227" s="3">
        <f t="shared" si="31"/>
        <v>1</v>
      </c>
      <c r="P227" s="10">
        <f t="shared" si="7"/>
        <v>1</v>
      </c>
      <c r="Q227" s="6">
        <f t="shared" si="14"/>
        <v>0.502262443438914</v>
      </c>
      <c r="R227" s="11">
        <v>2798.96</v>
      </c>
      <c r="S227" s="11">
        <v>2810.3</v>
      </c>
      <c r="T227" s="12">
        <f t="shared" si="8"/>
        <v>11.340000000000146</v>
      </c>
      <c r="U227" s="13">
        <f t="shared" si="9"/>
        <v>0.004051504844656639</v>
      </c>
      <c r="V227" s="6">
        <f t="shared" si="16"/>
        <v>0.6363636363636364</v>
      </c>
      <c r="W227" s="6">
        <f t="shared" si="28"/>
        <v>0.5098039215686274</v>
      </c>
      <c r="X227" s="3">
        <f t="shared" si="10"/>
        <v>1</v>
      </c>
      <c r="Y227" s="3">
        <f t="shared" si="11"/>
        <v>0</v>
      </c>
      <c r="Z227" s="10">
        <f t="shared" si="12"/>
        <v>0</v>
      </c>
      <c r="AA227" s="13">
        <f t="shared" si="13"/>
        <v>0</v>
      </c>
    </row>
    <row r="228" spans="1:27" ht="14.25">
      <c r="A228" s="3">
        <f t="shared" si="32"/>
        <v>226</v>
      </c>
      <c r="B228" s="29">
        <f t="shared" si="20"/>
        <v>43122</v>
      </c>
      <c r="C228" s="5">
        <f>34/55</f>
        <v>0.6181818181818182</v>
      </c>
      <c r="D228" s="5">
        <f t="shared" si="27"/>
        <v>0.38181818181818183</v>
      </c>
      <c r="E228" s="6">
        <f t="shared" si="1"/>
        <v>0.23636363636363633</v>
      </c>
      <c r="F228" s="5">
        <v>0.6873</v>
      </c>
      <c r="G228" s="5">
        <v>0.6897</v>
      </c>
      <c r="H228" s="5">
        <v>0.6833</v>
      </c>
      <c r="I228" s="6">
        <f t="shared" si="2"/>
        <v>0.006399999999999961</v>
      </c>
      <c r="J228" s="6">
        <f t="shared" si="29"/>
        <v>0</v>
      </c>
      <c r="K228" s="8">
        <v>0.56</v>
      </c>
      <c r="L228" s="9" t="s">
        <v>5</v>
      </c>
      <c r="M228" s="3">
        <f t="shared" si="4"/>
        <v>0</v>
      </c>
      <c r="N228" s="30">
        <f t="shared" si="30"/>
        <v>0</v>
      </c>
      <c r="O228" s="3">
        <f t="shared" si="31"/>
        <v>1</v>
      </c>
      <c r="P228" s="10">
        <f t="shared" si="7"/>
        <v>1</v>
      </c>
      <c r="Q228" s="6">
        <f t="shared" si="14"/>
        <v>0.5045045045045045</v>
      </c>
      <c r="R228" s="11">
        <v>2809.16</v>
      </c>
      <c r="S228" s="11">
        <v>2872.87</v>
      </c>
      <c r="T228" s="12">
        <f t="shared" si="8"/>
        <v>63.710000000000036</v>
      </c>
      <c r="U228" s="13">
        <f t="shared" si="9"/>
        <v>0.02267937746514974</v>
      </c>
      <c r="V228" s="6">
        <f t="shared" si="16"/>
        <v>0.7272727272727273</v>
      </c>
      <c r="W228" s="6">
        <f t="shared" si="28"/>
        <v>0.5098039215686274</v>
      </c>
      <c r="X228" s="3">
        <f t="shared" si="10"/>
        <v>1</v>
      </c>
      <c r="Y228" s="3">
        <f t="shared" si="11"/>
        <v>0</v>
      </c>
      <c r="Z228" s="10">
        <f t="shared" si="12"/>
        <v>0</v>
      </c>
      <c r="AA228" s="13">
        <f t="shared" si="13"/>
        <v>0</v>
      </c>
    </row>
    <row r="229" spans="1:27" ht="14.25">
      <c r="A229" s="3">
        <f t="shared" si="32"/>
        <v>227</v>
      </c>
      <c r="B229" s="29">
        <f t="shared" si="20"/>
        <v>43129</v>
      </c>
      <c r="C229" s="5">
        <f>31/45</f>
        <v>0.6888888888888889</v>
      </c>
      <c r="D229" s="5">
        <f t="shared" si="27"/>
        <v>0.3111111111111111</v>
      </c>
      <c r="E229" s="6">
        <f t="shared" si="1"/>
        <v>0.37777777777777777</v>
      </c>
      <c r="F229" s="5">
        <v>0.7121999999999999</v>
      </c>
      <c r="G229" s="5">
        <v>0.7016</v>
      </c>
      <c r="H229" s="5">
        <v>0.7356999999999999</v>
      </c>
      <c r="I229" s="6">
        <f t="shared" si="2"/>
        <v>-0.03409999999999991</v>
      </c>
      <c r="J229" s="6">
        <f t="shared" si="29"/>
        <v>0</v>
      </c>
      <c r="K229" s="8">
        <v>0.53</v>
      </c>
      <c r="L229" s="9" t="s">
        <v>28</v>
      </c>
      <c r="M229" s="3">
        <f t="shared" si="4"/>
        <v>0</v>
      </c>
      <c r="N229" s="30">
        <f t="shared" si="30"/>
        <v>0</v>
      </c>
      <c r="O229" s="3">
        <f t="shared" si="31"/>
        <v>0</v>
      </c>
      <c r="P229" s="10">
        <f t="shared" si="7"/>
        <v>0</v>
      </c>
      <c r="Q229" s="6">
        <f t="shared" si="14"/>
        <v>0.5022421524663677</v>
      </c>
      <c r="R229" s="11">
        <v>2867.23</v>
      </c>
      <c r="S229" s="11">
        <v>2762.13</v>
      </c>
      <c r="T229" s="12">
        <f t="shared" si="8"/>
        <v>-105.09999999999991</v>
      </c>
      <c r="U229" s="13">
        <f t="shared" si="9"/>
        <v>-0.036655587448512994</v>
      </c>
      <c r="V229" s="6">
        <f t="shared" si="16"/>
        <v>0.6363636363636364</v>
      </c>
      <c r="W229" s="6">
        <f t="shared" si="28"/>
        <v>0.49019607843137253</v>
      </c>
      <c r="X229" s="3">
        <f t="shared" si="10"/>
        <v>1</v>
      </c>
      <c r="Y229" s="3">
        <f t="shared" si="11"/>
        <v>1</v>
      </c>
      <c r="Z229" s="10">
        <f t="shared" si="12"/>
        <v>0</v>
      </c>
      <c r="AA229" s="13">
        <f t="shared" si="13"/>
        <v>-0.036655587448512994</v>
      </c>
    </row>
    <row r="230" spans="1:27" ht="14.25">
      <c r="A230" s="3">
        <f t="shared" si="32"/>
        <v>228</v>
      </c>
      <c r="B230" s="29">
        <f t="shared" si="20"/>
        <v>43136</v>
      </c>
      <c r="C230" s="5">
        <f>20/52</f>
        <v>0.38461538461538464</v>
      </c>
      <c r="D230" s="5">
        <f t="shared" si="27"/>
        <v>0.6153846153846154</v>
      </c>
      <c r="E230" s="6">
        <f t="shared" si="1"/>
        <v>-0.23076923076923078</v>
      </c>
      <c r="F230" s="5">
        <v>0.7038</v>
      </c>
      <c r="G230" s="5">
        <v>0.7</v>
      </c>
      <c r="H230" s="5">
        <v>0.7062999999999999</v>
      </c>
      <c r="I230" s="6">
        <f t="shared" si="2"/>
        <v>-0.006299999999999972</v>
      </c>
      <c r="J230" s="6">
        <f t="shared" si="29"/>
        <v>0</v>
      </c>
      <c r="K230" s="8">
        <v>0.58</v>
      </c>
      <c r="L230" s="9" t="s">
        <v>5</v>
      </c>
      <c r="M230" s="3">
        <f t="shared" si="4"/>
        <v>0</v>
      </c>
      <c r="N230" s="30">
        <f t="shared" si="30"/>
        <v>0</v>
      </c>
      <c r="O230" s="3">
        <f t="shared" si="31"/>
        <v>1</v>
      </c>
      <c r="P230" s="10">
        <f t="shared" si="7"/>
        <v>0</v>
      </c>
      <c r="Q230" s="6">
        <f t="shared" si="14"/>
        <v>0.5044642857142857</v>
      </c>
      <c r="R230" s="11">
        <v>2741.06</v>
      </c>
      <c r="S230" s="11">
        <v>2619.55</v>
      </c>
      <c r="T230" s="12">
        <f t="shared" si="8"/>
        <v>-121.50999999999976</v>
      </c>
      <c r="U230" s="13">
        <f t="shared" si="9"/>
        <v>-0.04432956593434648</v>
      </c>
      <c r="V230" s="6">
        <f t="shared" si="16"/>
        <v>0.6363636363636364</v>
      </c>
      <c r="W230" s="6">
        <f t="shared" si="28"/>
        <v>0.49019607843137253</v>
      </c>
      <c r="X230" s="3">
        <f t="shared" si="10"/>
        <v>0</v>
      </c>
      <c r="Y230" s="3">
        <f t="shared" si="11"/>
        <v>1</v>
      </c>
      <c r="Z230" s="10">
        <f t="shared" si="12"/>
        <v>0</v>
      </c>
      <c r="AA230" s="13">
        <f t="shared" si="13"/>
        <v>0</v>
      </c>
    </row>
    <row r="231" spans="1:27" ht="14.25">
      <c r="A231" s="3">
        <f t="shared" si="32"/>
        <v>229</v>
      </c>
      <c r="B231" s="29">
        <f t="shared" si="20"/>
        <v>43143</v>
      </c>
      <c r="C231" s="5">
        <f>37/57</f>
        <v>0.6491228070175439</v>
      </c>
      <c r="D231" s="5">
        <f t="shared" si="27"/>
        <v>0.3508771929824561</v>
      </c>
      <c r="E231" s="6">
        <f t="shared" si="1"/>
        <v>0.29824561403508776</v>
      </c>
      <c r="F231" s="5">
        <v>0.6772</v>
      </c>
      <c r="G231" s="5">
        <v>0.6931999999999999</v>
      </c>
      <c r="H231" s="5">
        <v>0.6475</v>
      </c>
      <c r="I231" s="6">
        <f t="shared" si="2"/>
        <v>0.04569999999999996</v>
      </c>
      <c r="J231" s="6">
        <f t="shared" si="29"/>
        <v>0</v>
      </c>
      <c r="K231" s="8">
        <v>0.63</v>
      </c>
      <c r="L231" s="9" t="s">
        <v>5</v>
      </c>
      <c r="M231" s="3">
        <f t="shared" si="4"/>
        <v>0</v>
      </c>
      <c r="N231" s="30">
        <f t="shared" si="30"/>
        <v>0</v>
      </c>
      <c r="O231" s="3">
        <f t="shared" si="31"/>
        <v>1</v>
      </c>
      <c r="P231" s="10">
        <f t="shared" si="7"/>
        <v>1</v>
      </c>
      <c r="Q231" s="6">
        <f t="shared" si="14"/>
        <v>0.5066666666666667</v>
      </c>
      <c r="R231" s="11">
        <v>2636.75</v>
      </c>
      <c r="S231" s="11">
        <v>2732.22</v>
      </c>
      <c r="T231" s="12">
        <f t="shared" si="8"/>
        <v>95.4699999999998</v>
      </c>
      <c r="U231" s="13">
        <f t="shared" si="9"/>
        <v>0.03620745235612015</v>
      </c>
      <c r="V231" s="6">
        <f t="shared" si="16"/>
        <v>0.6363636363636364</v>
      </c>
      <c r="W231" s="6">
        <f t="shared" si="28"/>
        <v>0.49019607843137253</v>
      </c>
      <c r="X231" s="3">
        <f t="shared" si="10"/>
        <v>1</v>
      </c>
      <c r="Y231" s="3">
        <f t="shared" si="11"/>
        <v>0</v>
      </c>
      <c r="Z231" s="10">
        <f t="shared" si="12"/>
        <v>0</v>
      </c>
      <c r="AA231" s="13">
        <f t="shared" si="13"/>
        <v>0</v>
      </c>
    </row>
    <row r="232" spans="1:27" ht="14.25">
      <c r="A232" s="3">
        <f t="shared" si="32"/>
        <v>230</v>
      </c>
      <c r="B232" s="29">
        <f t="shared" si="20"/>
        <v>43150</v>
      </c>
      <c r="C232" s="5">
        <f>31/59</f>
        <v>0.5254237288135594</v>
      </c>
      <c r="D232" s="5">
        <f t="shared" si="27"/>
        <v>0.47457627118644063</v>
      </c>
      <c r="E232" s="6">
        <f t="shared" si="1"/>
        <v>0.05084745762711873</v>
      </c>
      <c r="F232" s="5">
        <v>0.6661</v>
      </c>
      <c r="G232" s="5">
        <v>0.6484000000000001</v>
      </c>
      <c r="H232" s="5">
        <v>0.6857</v>
      </c>
      <c r="I232" s="6">
        <f t="shared" si="2"/>
        <v>-0.03729999999999989</v>
      </c>
      <c r="J232" s="6">
        <f t="shared" si="29"/>
        <v>0</v>
      </c>
      <c r="K232" s="8">
        <v>0.56</v>
      </c>
      <c r="L232" s="9" t="s">
        <v>28</v>
      </c>
      <c r="M232" s="3">
        <f t="shared" si="4"/>
        <v>0</v>
      </c>
      <c r="N232" s="30">
        <f t="shared" si="30"/>
        <v>0</v>
      </c>
      <c r="O232" s="3">
        <f t="shared" si="31"/>
        <v>1</v>
      </c>
      <c r="P232" s="10">
        <f t="shared" si="7"/>
        <v>1</v>
      </c>
      <c r="Q232" s="6">
        <f t="shared" si="14"/>
        <v>0.5088495575221239</v>
      </c>
      <c r="R232" s="11">
        <v>2722.99</v>
      </c>
      <c r="S232" s="11">
        <v>2747.3</v>
      </c>
      <c r="T232" s="12">
        <f t="shared" si="8"/>
        <v>24.3100000000004</v>
      </c>
      <c r="U232" s="13">
        <f t="shared" si="9"/>
        <v>0.008927686109754498</v>
      </c>
      <c r="V232" s="6">
        <f t="shared" si="16"/>
        <v>0.7272727272727273</v>
      </c>
      <c r="W232" s="6">
        <f t="shared" si="28"/>
        <v>0.49019607843137253</v>
      </c>
      <c r="X232" s="3">
        <f t="shared" si="10"/>
        <v>1</v>
      </c>
      <c r="Y232" s="3">
        <f t="shared" si="11"/>
        <v>1</v>
      </c>
      <c r="Z232" s="10">
        <f t="shared" si="12"/>
        <v>1</v>
      </c>
      <c r="AA232" s="13">
        <f t="shared" si="13"/>
        <v>0.008927686109754498</v>
      </c>
    </row>
    <row r="233" spans="1:27" ht="14.25">
      <c r="A233" s="3">
        <f t="shared" si="32"/>
        <v>231</v>
      </c>
      <c r="B233" s="29">
        <f t="shared" si="20"/>
        <v>43157</v>
      </c>
      <c r="C233" s="5">
        <f>29/45</f>
        <v>0.6444444444444445</v>
      </c>
      <c r="D233" s="5">
        <f t="shared" si="27"/>
        <v>0.3555555555555555</v>
      </c>
      <c r="E233" s="6">
        <f t="shared" si="1"/>
        <v>0.288888888888889</v>
      </c>
      <c r="F233" s="5">
        <v>0.6878</v>
      </c>
      <c r="G233" s="5">
        <v>0.6638</v>
      </c>
      <c r="H233" s="5">
        <v>0.7313</v>
      </c>
      <c r="I233" s="6">
        <f t="shared" si="2"/>
        <v>-0.0675</v>
      </c>
      <c r="J233" s="6">
        <f t="shared" si="29"/>
        <v>0</v>
      </c>
      <c r="K233" s="8">
        <v>0.59</v>
      </c>
      <c r="L233" s="9" t="s">
        <v>28</v>
      </c>
      <c r="M233" s="3">
        <f t="shared" si="4"/>
        <v>0</v>
      </c>
      <c r="N233" s="30">
        <f t="shared" si="30"/>
        <v>0</v>
      </c>
      <c r="O233" s="3">
        <f t="shared" si="31"/>
        <v>0</v>
      </c>
      <c r="P233" s="10">
        <f t="shared" si="7"/>
        <v>0</v>
      </c>
      <c r="Q233" s="6">
        <f t="shared" si="14"/>
        <v>0.5066079295154186</v>
      </c>
      <c r="R233" s="11">
        <v>2757.37</v>
      </c>
      <c r="S233" s="11">
        <v>2691.25</v>
      </c>
      <c r="T233" s="12">
        <f t="shared" si="8"/>
        <v>-66.11999999999989</v>
      </c>
      <c r="U233" s="13">
        <f t="shared" si="9"/>
        <v>-0.023979371647620703</v>
      </c>
      <c r="V233" s="6">
        <f t="shared" si="16"/>
        <v>0.6363636363636364</v>
      </c>
      <c r="W233" s="6">
        <f t="shared" si="28"/>
        <v>0.49019607843137253</v>
      </c>
      <c r="X233" s="3">
        <f t="shared" si="10"/>
        <v>1</v>
      </c>
      <c r="Y233" s="3">
        <f t="shared" si="11"/>
        <v>1</v>
      </c>
      <c r="Z233" s="10">
        <f t="shared" si="12"/>
        <v>0</v>
      </c>
      <c r="AA233" s="13">
        <f t="shared" si="13"/>
        <v>-0.023979371647620703</v>
      </c>
    </row>
    <row r="234" spans="1:27" ht="14.25">
      <c r="A234" s="3">
        <f t="shared" si="32"/>
        <v>232</v>
      </c>
      <c r="B234" s="29">
        <f t="shared" si="20"/>
        <v>43164</v>
      </c>
      <c r="C234" s="5">
        <f>24/41</f>
        <v>0.5853658536585366</v>
      </c>
      <c r="D234" s="5">
        <f t="shared" si="27"/>
        <v>0.41463414634146345</v>
      </c>
      <c r="E234" s="6">
        <f t="shared" si="1"/>
        <v>0.1707317073170731</v>
      </c>
      <c r="F234" s="5">
        <v>0.6622</v>
      </c>
      <c r="G234" s="5">
        <v>0.675</v>
      </c>
      <c r="H234" s="5">
        <v>0.6441</v>
      </c>
      <c r="I234" s="6">
        <f t="shared" si="2"/>
        <v>0.03090000000000004</v>
      </c>
      <c r="J234" s="6">
        <f t="shared" si="29"/>
        <v>0</v>
      </c>
      <c r="K234" s="8">
        <v>0.64</v>
      </c>
      <c r="L234" s="9" t="s">
        <v>5</v>
      </c>
      <c r="M234" s="3">
        <f t="shared" si="4"/>
        <v>0</v>
      </c>
      <c r="N234" s="30">
        <f t="shared" si="30"/>
        <v>0</v>
      </c>
      <c r="O234" s="3">
        <f t="shared" si="31"/>
        <v>1</v>
      </c>
      <c r="P234" s="10">
        <f t="shared" si="7"/>
        <v>1</v>
      </c>
      <c r="Q234" s="6">
        <f t="shared" si="14"/>
        <v>0.5087719298245614</v>
      </c>
      <c r="R234" s="11">
        <v>2681.06</v>
      </c>
      <c r="S234" s="11">
        <v>2786.57</v>
      </c>
      <c r="T234" s="12">
        <f t="shared" si="8"/>
        <v>105.51000000000022</v>
      </c>
      <c r="U234" s="13">
        <f t="shared" si="9"/>
        <v>0.03935383766122363</v>
      </c>
      <c r="V234" s="6">
        <f t="shared" si="16"/>
        <v>0.7272727272727273</v>
      </c>
      <c r="W234" s="6">
        <f t="shared" si="28"/>
        <v>0.49019607843137253</v>
      </c>
      <c r="X234" s="3">
        <f t="shared" si="10"/>
        <v>1</v>
      </c>
      <c r="Y234" s="3">
        <f t="shared" si="11"/>
        <v>0</v>
      </c>
      <c r="Z234" s="10">
        <f t="shared" si="12"/>
        <v>0</v>
      </c>
      <c r="AA234" s="13">
        <f t="shared" si="13"/>
        <v>0</v>
      </c>
    </row>
    <row r="235" spans="1:27" ht="14.25">
      <c r="A235" s="3">
        <f t="shared" si="32"/>
        <v>233</v>
      </c>
      <c r="B235" s="29">
        <f t="shared" si="20"/>
        <v>43171</v>
      </c>
      <c r="C235" s="5">
        <f>36/50</f>
        <v>0.72</v>
      </c>
      <c r="D235" s="5">
        <f t="shared" si="27"/>
        <v>0.28</v>
      </c>
      <c r="E235" s="6">
        <f t="shared" si="1"/>
        <v>0.43999999999999995</v>
      </c>
      <c r="F235" s="5">
        <v>0.6970000000000001</v>
      </c>
      <c r="G235" s="5">
        <v>0.6972</v>
      </c>
      <c r="H235" s="5">
        <v>0.6964</v>
      </c>
      <c r="I235" s="6">
        <f t="shared" si="2"/>
        <v>0.0008000000000000229</v>
      </c>
      <c r="J235" s="6">
        <f t="shared" si="29"/>
        <v>0</v>
      </c>
      <c r="K235" s="8">
        <v>0.54</v>
      </c>
      <c r="L235" s="9" t="s">
        <v>28</v>
      </c>
      <c r="M235" s="3">
        <f t="shared" si="4"/>
        <v>0</v>
      </c>
      <c r="N235" s="30">
        <f t="shared" si="30"/>
        <v>0</v>
      </c>
      <c r="O235" s="3">
        <f t="shared" si="31"/>
        <v>0</v>
      </c>
      <c r="P235" s="10">
        <f t="shared" si="7"/>
        <v>0</v>
      </c>
      <c r="Q235" s="6">
        <f t="shared" si="14"/>
        <v>0.5065502183406113</v>
      </c>
      <c r="R235" s="11">
        <v>2790.54</v>
      </c>
      <c r="S235" s="11">
        <v>2752.01</v>
      </c>
      <c r="T235" s="12">
        <f t="shared" si="8"/>
        <v>-38.529999999999745</v>
      </c>
      <c r="U235" s="13">
        <f t="shared" si="9"/>
        <v>-0.01380736344936813</v>
      </c>
      <c r="V235" s="6">
        <f t="shared" si="16"/>
        <v>0.7272727272727273</v>
      </c>
      <c r="W235" s="6">
        <f t="shared" si="28"/>
        <v>0.49019607843137253</v>
      </c>
      <c r="X235" s="3">
        <f t="shared" si="10"/>
        <v>1</v>
      </c>
      <c r="Y235" s="3">
        <f t="shared" si="11"/>
        <v>0</v>
      </c>
      <c r="Z235" s="10">
        <f t="shared" si="12"/>
        <v>0</v>
      </c>
      <c r="AA235" s="13">
        <f t="shared" si="13"/>
        <v>0</v>
      </c>
    </row>
    <row r="236" spans="1:27" ht="14.25">
      <c r="A236" s="3">
        <f t="shared" si="32"/>
        <v>234</v>
      </c>
      <c r="B236" s="29">
        <f t="shared" si="20"/>
        <v>43178</v>
      </c>
      <c r="C236" s="5">
        <f>24/38</f>
        <v>0.631578947368421</v>
      </c>
      <c r="D236" s="5">
        <f t="shared" si="27"/>
        <v>0.368421052631579</v>
      </c>
      <c r="E236" s="6">
        <f t="shared" si="1"/>
        <v>0.26315789473684204</v>
      </c>
      <c r="F236" s="5">
        <v>0.6553</v>
      </c>
      <c r="G236" s="5">
        <v>0.66</v>
      </c>
      <c r="H236" s="5">
        <v>0.65</v>
      </c>
      <c r="I236" s="6">
        <f t="shared" si="2"/>
        <v>0.010000000000000009</v>
      </c>
      <c r="J236" s="6">
        <f t="shared" si="29"/>
        <v>0</v>
      </c>
      <c r="K236" s="8">
        <v>0.57</v>
      </c>
      <c r="L236" s="9" t="s">
        <v>5</v>
      </c>
      <c r="M236" s="3">
        <f t="shared" si="4"/>
        <v>0</v>
      </c>
      <c r="N236" s="30">
        <f t="shared" si="30"/>
        <v>0</v>
      </c>
      <c r="O236" s="3">
        <f t="shared" si="31"/>
        <v>0</v>
      </c>
      <c r="P236" s="10">
        <f t="shared" si="7"/>
        <v>0</v>
      </c>
      <c r="Q236" s="6">
        <f t="shared" si="14"/>
        <v>0.5043478260869565</v>
      </c>
      <c r="R236" s="11">
        <v>2741.38</v>
      </c>
      <c r="S236" s="11">
        <v>2588.26</v>
      </c>
      <c r="T236" s="12">
        <f t="shared" si="8"/>
        <v>-153.1199999999999</v>
      </c>
      <c r="U236" s="13">
        <f t="shared" si="9"/>
        <v>-0.05585508028803007</v>
      </c>
      <c r="V236" s="6">
        <f t="shared" si="16"/>
        <v>0.6363636363636364</v>
      </c>
      <c r="W236" s="6">
        <f t="shared" si="28"/>
        <v>0.49019607843137253</v>
      </c>
      <c r="X236" s="3">
        <f t="shared" si="10"/>
        <v>1</v>
      </c>
      <c r="Y236" s="3">
        <f t="shared" si="11"/>
        <v>0</v>
      </c>
      <c r="Z236" s="10">
        <f t="shared" si="12"/>
        <v>0</v>
      </c>
      <c r="AA236" s="13">
        <f t="shared" si="13"/>
        <v>0</v>
      </c>
    </row>
    <row r="237" spans="1:27" ht="14.25">
      <c r="A237" s="3">
        <f t="shared" si="32"/>
        <v>235</v>
      </c>
      <c r="B237" s="29">
        <f t="shared" si="20"/>
        <v>43185</v>
      </c>
      <c r="C237" s="5">
        <f>21/50</f>
        <v>0.42</v>
      </c>
      <c r="D237" s="5">
        <f t="shared" si="27"/>
        <v>0.5800000000000001</v>
      </c>
      <c r="E237" s="6">
        <f t="shared" si="1"/>
        <v>-0.1600000000000001</v>
      </c>
      <c r="F237" s="5">
        <v>0.691</v>
      </c>
      <c r="G237" s="5">
        <v>0.6548</v>
      </c>
      <c r="H237" s="5">
        <v>0.7172</v>
      </c>
      <c r="I237" s="6">
        <f t="shared" si="2"/>
        <v>-0.0623999999999999</v>
      </c>
      <c r="J237" s="6">
        <f t="shared" si="29"/>
        <v>0</v>
      </c>
      <c r="K237" s="8">
        <v>0.8</v>
      </c>
      <c r="L237" s="9" t="s">
        <v>5</v>
      </c>
      <c r="M237" s="3">
        <f t="shared" si="4"/>
        <v>0</v>
      </c>
      <c r="N237" s="30">
        <f t="shared" si="30"/>
        <v>0</v>
      </c>
      <c r="O237" s="3">
        <f t="shared" si="31"/>
        <v>0</v>
      </c>
      <c r="P237" s="10">
        <f t="shared" si="7"/>
        <v>1</v>
      </c>
      <c r="Q237" s="6">
        <f t="shared" si="14"/>
        <v>0.5021645021645021</v>
      </c>
      <c r="R237" s="11">
        <v>2619.35</v>
      </c>
      <c r="S237" s="11">
        <v>2640.87</v>
      </c>
      <c r="T237" s="12">
        <f t="shared" si="8"/>
        <v>21.519999999999982</v>
      </c>
      <c r="U237" s="13">
        <f t="shared" si="9"/>
        <v>0.008215778723729163</v>
      </c>
      <c r="V237" s="6">
        <f t="shared" si="16"/>
        <v>0.5454545454545454</v>
      </c>
      <c r="W237" s="6">
        <f t="shared" si="28"/>
        <v>0.49019607843137253</v>
      </c>
      <c r="X237" s="3">
        <f t="shared" si="10"/>
        <v>0</v>
      </c>
      <c r="Y237" s="3">
        <f t="shared" si="11"/>
        <v>1</v>
      </c>
      <c r="Z237" s="10">
        <f t="shared" si="12"/>
        <v>0</v>
      </c>
      <c r="AA237" s="13">
        <f t="shared" si="13"/>
        <v>0</v>
      </c>
    </row>
    <row r="238" spans="1:27" ht="14.25">
      <c r="A238" s="3">
        <f t="shared" si="32"/>
        <v>236</v>
      </c>
      <c r="B238" s="29">
        <f t="shared" si="20"/>
        <v>43192</v>
      </c>
      <c r="C238" s="5">
        <f>30/43</f>
        <v>0.6976744186046512</v>
      </c>
      <c r="D238" s="5">
        <f t="shared" si="27"/>
        <v>0.3023255813953488</v>
      </c>
      <c r="E238" s="6">
        <f t="shared" si="1"/>
        <v>0.39534883720930236</v>
      </c>
      <c r="F238" s="5">
        <v>0.6453</v>
      </c>
      <c r="G238" s="5">
        <v>0.6483</v>
      </c>
      <c r="H238" s="5">
        <v>0.6385000000000001</v>
      </c>
      <c r="I238" s="6">
        <f t="shared" si="2"/>
        <v>0.00979999999999992</v>
      </c>
      <c r="J238" s="6">
        <f t="shared" si="29"/>
        <v>0</v>
      </c>
      <c r="K238" s="8">
        <v>0.64</v>
      </c>
      <c r="L238" s="9" t="s">
        <v>28</v>
      </c>
      <c r="M238" s="3">
        <f t="shared" si="4"/>
        <v>0</v>
      </c>
      <c r="N238" s="30">
        <f t="shared" si="30"/>
        <v>0</v>
      </c>
      <c r="O238" s="3">
        <f t="shared" si="31"/>
        <v>0</v>
      </c>
      <c r="P238" s="10">
        <f t="shared" si="7"/>
        <v>0</v>
      </c>
      <c r="Q238" s="6">
        <f t="shared" si="14"/>
        <v>0.5</v>
      </c>
      <c r="R238" s="11">
        <v>2633.45</v>
      </c>
      <c r="S238" s="11">
        <v>2604.47</v>
      </c>
      <c r="T238" s="12">
        <f t="shared" si="8"/>
        <v>-28.980000000000018</v>
      </c>
      <c r="U238" s="13">
        <f t="shared" si="9"/>
        <v>-0.011004575746644143</v>
      </c>
      <c r="V238" s="6">
        <f t="shared" si="16"/>
        <v>0.45454545454545453</v>
      </c>
      <c r="W238" s="6">
        <f t="shared" si="28"/>
        <v>0.49019607843137253</v>
      </c>
      <c r="X238" s="3">
        <f t="shared" si="10"/>
        <v>1</v>
      </c>
      <c r="Y238" s="3">
        <f t="shared" si="11"/>
        <v>0</v>
      </c>
      <c r="Z238" s="10">
        <f t="shared" si="12"/>
        <v>0</v>
      </c>
      <c r="AA238" s="13">
        <f t="shared" si="13"/>
        <v>0</v>
      </c>
    </row>
    <row r="239" spans="1:27" ht="14.25">
      <c r="A239" s="3">
        <f t="shared" si="32"/>
        <v>237</v>
      </c>
      <c r="B239" s="29">
        <f t="shared" si="20"/>
        <v>43199</v>
      </c>
      <c r="C239" s="5">
        <f>29/53</f>
        <v>0.5471698113207547</v>
      </c>
      <c r="D239" s="5">
        <f t="shared" si="27"/>
        <v>0.4528301886792453</v>
      </c>
      <c r="E239" s="6">
        <f t="shared" si="1"/>
        <v>0.09433962264150941</v>
      </c>
      <c r="F239" s="5">
        <v>0.6679</v>
      </c>
      <c r="G239" s="5">
        <v>0.6568999999999999</v>
      </c>
      <c r="H239" s="5">
        <v>0.6812999999999999</v>
      </c>
      <c r="I239" s="6">
        <f t="shared" si="2"/>
        <v>-0.024399999999999977</v>
      </c>
      <c r="J239" s="6">
        <f t="shared" si="29"/>
        <v>0</v>
      </c>
      <c r="K239" s="8">
        <v>0.53</v>
      </c>
      <c r="L239" s="9" t="s">
        <v>5</v>
      </c>
      <c r="M239" s="3">
        <f t="shared" si="4"/>
        <v>0</v>
      </c>
      <c r="N239" s="30">
        <f t="shared" si="30"/>
        <v>0</v>
      </c>
      <c r="O239" s="3">
        <f t="shared" si="31"/>
        <v>1</v>
      </c>
      <c r="P239" s="10">
        <f t="shared" si="7"/>
        <v>1</v>
      </c>
      <c r="Q239" s="6">
        <f t="shared" si="14"/>
        <v>0.5021459227467812</v>
      </c>
      <c r="R239" s="11">
        <v>2617.18</v>
      </c>
      <c r="S239" s="11">
        <v>2656.3</v>
      </c>
      <c r="T239" s="12">
        <f t="shared" si="8"/>
        <v>39.120000000000346</v>
      </c>
      <c r="U239" s="13">
        <f t="shared" si="9"/>
        <v>0.01494738611788274</v>
      </c>
      <c r="V239" s="6">
        <f t="shared" si="16"/>
        <v>0.45454545454545453</v>
      </c>
      <c r="W239" s="6">
        <f t="shared" si="28"/>
        <v>0.5098039215686274</v>
      </c>
      <c r="X239" s="3">
        <f t="shared" si="10"/>
        <v>1</v>
      </c>
      <c r="Y239" s="3">
        <f t="shared" si="11"/>
        <v>1</v>
      </c>
      <c r="Z239" s="10">
        <f t="shared" si="12"/>
        <v>1</v>
      </c>
      <c r="AA239" s="13">
        <f t="shared" si="13"/>
        <v>0.01494738611788274</v>
      </c>
    </row>
    <row r="240" spans="1:27" ht="14.25">
      <c r="A240" s="3">
        <f t="shared" si="32"/>
        <v>238</v>
      </c>
      <c r="B240" s="29">
        <f t="shared" si="20"/>
        <v>43206</v>
      </c>
      <c r="C240" s="5">
        <f>24/37</f>
        <v>0.6486486486486487</v>
      </c>
      <c r="D240" s="5">
        <f t="shared" si="27"/>
        <v>0.3513513513513513</v>
      </c>
      <c r="E240" s="6">
        <f t="shared" si="1"/>
        <v>0.29729729729729737</v>
      </c>
      <c r="F240" s="5">
        <v>0.6716</v>
      </c>
      <c r="G240" s="5">
        <v>0.6979000000000001</v>
      </c>
      <c r="H240" s="5">
        <v>0.6231</v>
      </c>
      <c r="I240" s="6">
        <f t="shared" si="2"/>
        <v>0.07480000000000009</v>
      </c>
      <c r="J240" s="6">
        <f t="shared" si="29"/>
        <v>0</v>
      </c>
      <c r="K240" s="8">
        <v>0.69</v>
      </c>
      <c r="L240" s="9" t="s">
        <v>5</v>
      </c>
      <c r="M240" s="3">
        <f t="shared" si="4"/>
        <v>0</v>
      </c>
      <c r="N240" s="30">
        <f t="shared" si="30"/>
        <v>0</v>
      </c>
      <c r="O240" s="3">
        <f t="shared" si="31"/>
        <v>1</v>
      </c>
      <c r="P240" s="10">
        <f t="shared" si="7"/>
        <v>1</v>
      </c>
      <c r="Q240" s="6">
        <f t="shared" si="14"/>
        <v>0.5042735042735043</v>
      </c>
      <c r="R240" s="11">
        <v>2670.1</v>
      </c>
      <c r="S240" s="11">
        <v>2670.14</v>
      </c>
      <c r="T240" s="12">
        <f t="shared" si="8"/>
        <v>0.03999999999996362</v>
      </c>
      <c r="U240" s="13">
        <f t="shared" si="9"/>
        <v>1.4980712332857804E-05</v>
      </c>
      <c r="V240" s="6">
        <f t="shared" si="16"/>
        <v>0.5454545454545454</v>
      </c>
      <c r="W240" s="6">
        <f t="shared" si="28"/>
        <v>0.5098039215686274</v>
      </c>
      <c r="X240" s="3">
        <f t="shared" si="10"/>
        <v>1</v>
      </c>
      <c r="Y240" s="3">
        <f t="shared" si="11"/>
        <v>0</v>
      </c>
      <c r="Z240" s="10">
        <f t="shared" si="12"/>
        <v>0</v>
      </c>
      <c r="AA240" s="13">
        <f t="shared" si="13"/>
        <v>0</v>
      </c>
    </row>
    <row r="241" spans="1:27" ht="14.25">
      <c r="A241" s="3">
        <f t="shared" si="32"/>
        <v>239</v>
      </c>
      <c r="B241" s="29">
        <f t="shared" si="20"/>
        <v>43213</v>
      </c>
      <c r="C241" s="5">
        <f>17/32</f>
        <v>0.53125</v>
      </c>
      <c r="D241" s="5">
        <f t="shared" si="27"/>
        <v>0.46875</v>
      </c>
      <c r="E241" s="6">
        <f t="shared" si="1"/>
        <v>0.0625</v>
      </c>
      <c r="F241" s="5">
        <v>0.6672</v>
      </c>
      <c r="G241" s="5">
        <v>0.6676000000000001</v>
      </c>
      <c r="H241" s="5">
        <v>0.6667000000000001</v>
      </c>
      <c r="I241" s="6">
        <f t="shared" si="2"/>
        <v>0.0009000000000000119</v>
      </c>
      <c r="J241" s="6">
        <f t="shared" si="29"/>
        <v>0</v>
      </c>
      <c r="K241" s="8">
        <v>0.61</v>
      </c>
      <c r="L241" s="9" t="s">
        <v>5</v>
      </c>
      <c r="M241" s="3">
        <f t="shared" si="4"/>
        <v>0</v>
      </c>
      <c r="N241" s="30">
        <f t="shared" si="30"/>
        <v>0</v>
      </c>
      <c r="O241" s="3">
        <f t="shared" si="31"/>
        <v>0</v>
      </c>
      <c r="P241" s="10">
        <f t="shared" si="7"/>
        <v>0</v>
      </c>
      <c r="Q241" s="6">
        <f t="shared" si="14"/>
        <v>0.502127659574468</v>
      </c>
      <c r="R241" s="11">
        <v>2675.4</v>
      </c>
      <c r="S241" s="11">
        <v>2669.91</v>
      </c>
      <c r="T241" s="12">
        <f t="shared" si="8"/>
        <v>-5.4900000000002365</v>
      </c>
      <c r="U241" s="13">
        <f t="shared" si="9"/>
        <v>-0.0020520296030500994</v>
      </c>
      <c r="V241" s="6">
        <f t="shared" si="16"/>
        <v>0.45454545454545453</v>
      </c>
      <c r="W241" s="6">
        <f t="shared" si="28"/>
        <v>0.5098039215686274</v>
      </c>
      <c r="X241" s="3">
        <f t="shared" si="10"/>
        <v>1</v>
      </c>
      <c r="Y241" s="3">
        <f t="shared" si="11"/>
        <v>0</v>
      </c>
      <c r="Z241" s="10">
        <f t="shared" si="12"/>
        <v>0</v>
      </c>
      <c r="AA241" s="13">
        <f t="shared" si="13"/>
        <v>0</v>
      </c>
    </row>
    <row r="242" spans="1:27" ht="14.25">
      <c r="A242" s="3">
        <f t="shared" si="32"/>
        <v>240</v>
      </c>
      <c r="B242" s="29">
        <f t="shared" si="20"/>
        <v>43220</v>
      </c>
      <c r="C242" s="5">
        <f>36/62</f>
        <v>0.5806451612903226</v>
      </c>
      <c r="D242" s="5">
        <f t="shared" si="27"/>
        <v>0.4193548387096774</v>
      </c>
      <c r="E242" s="6">
        <f t="shared" si="1"/>
        <v>0.16129032258064524</v>
      </c>
      <c r="F242" s="5">
        <v>0.6685</v>
      </c>
      <c r="G242" s="5">
        <v>0.6431</v>
      </c>
      <c r="H242" s="5">
        <v>0.7038</v>
      </c>
      <c r="I242" s="6">
        <f t="shared" si="2"/>
        <v>-0.060699999999999976</v>
      </c>
      <c r="J242" s="6">
        <f t="shared" si="29"/>
        <v>0</v>
      </c>
      <c r="K242" s="8">
        <v>0.6</v>
      </c>
      <c r="L242" s="9" t="s">
        <v>5</v>
      </c>
      <c r="M242" s="3">
        <f t="shared" si="4"/>
        <v>0</v>
      </c>
      <c r="N242" s="30">
        <f t="shared" si="30"/>
        <v>0</v>
      </c>
      <c r="O242" s="3">
        <f t="shared" si="31"/>
        <v>0</v>
      </c>
      <c r="P242" s="10">
        <f t="shared" si="7"/>
        <v>0</v>
      </c>
      <c r="Q242" s="6">
        <f t="shared" si="14"/>
        <v>0.5</v>
      </c>
      <c r="R242" s="11">
        <v>2675.47</v>
      </c>
      <c r="S242" s="11">
        <v>2663.42</v>
      </c>
      <c r="T242" s="12">
        <f t="shared" si="8"/>
        <v>-12.049999999999727</v>
      </c>
      <c r="U242" s="13">
        <f t="shared" si="9"/>
        <v>-0.0045038815609966575</v>
      </c>
      <c r="V242" s="6">
        <f t="shared" si="16"/>
        <v>0.36363636363636365</v>
      </c>
      <c r="W242" s="6">
        <f t="shared" si="28"/>
        <v>0.5098039215686274</v>
      </c>
      <c r="X242" s="3">
        <f t="shared" si="10"/>
        <v>1</v>
      </c>
      <c r="Y242" s="3">
        <f t="shared" si="11"/>
        <v>1</v>
      </c>
      <c r="Z242" s="10">
        <f t="shared" si="12"/>
        <v>0</v>
      </c>
      <c r="AA242" s="13">
        <f t="shared" si="13"/>
        <v>-0.0045038815609966575</v>
      </c>
    </row>
    <row r="243" spans="1:27" ht="14.25">
      <c r="A243" s="3">
        <f t="shared" si="32"/>
        <v>241</v>
      </c>
      <c r="B243" s="29">
        <f t="shared" si="20"/>
        <v>43227</v>
      </c>
      <c r="C243" s="5">
        <f>23/40</f>
        <v>0.575</v>
      </c>
      <c r="D243" s="5">
        <f t="shared" si="27"/>
        <v>0.42500000000000004</v>
      </c>
      <c r="E243" s="6">
        <f t="shared" si="1"/>
        <v>0.1499999999999999</v>
      </c>
      <c r="F243" s="5">
        <v>0.665</v>
      </c>
      <c r="G243" s="5">
        <v>0.6848000000000001</v>
      </c>
      <c r="H243" s="5">
        <v>0.6382</v>
      </c>
      <c r="I243" s="6">
        <f t="shared" si="2"/>
        <v>0.046600000000000086</v>
      </c>
      <c r="J243" s="6">
        <f t="shared" si="29"/>
        <v>0</v>
      </c>
      <c r="K243" s="8">
        <v>0.67</v>
      </c>
      <c r="L243" s="9" t="s">
        <v>5</v>
      </c>
      <c r="M243" s="3">
        <f t="shared" si="4"/>
        <v>0</v>
      </c>
      <c r="N243" s="30">
        <f t="shared" si="30"/>
        <v>0</v>
      </c>
      <c r="O243" s="3">
        <f t="shared" si="31"/>
        <v>1</v>
      </c>
      <c r="P243" s="10">
        <f t="shared" si="7"/>
        <v>1</v>
      </c>
      <c r="Q243" s="6">
        <f t="shared" si="14"/>
        <v>0.5021097046413502</v>
      </c>
      <c r="R243" s="11">
        <v>2680.34</v>
      </c>
      <c r="S243" s="11">
        <v>2727.72</v>
      </c>
      <c r="T243" s="12">
        <f t="shared" si="8"/>
        <v>47.379999999999654</v>
      </c>
      <c r="U243" s="13">
        <f t="shared" si="9"/>
        <v>0.017676861890655534</v>
      </c>
      <c r="V243" s="6">
        <f t="shared" si="16"/>
        <v>0.36363636363636365</v>
      </c>
      <c r="W243" s="6">
        <f t="shared" si="28"/>
        <v>0.5294117647058824</v>
      </c>
      <c r="X243" s="3">
        <f t="shared" si="10"/>
        <v>1</v>
      </c>
      <c r="Y243" s="3">
        <f t="shared" si="11"/>
        <v>0</v>
      </c>
      <c r="Z243" s="10">
        <f t="shared" si="12"/>
        <v>0</v>
      </c>
      <c r="AA243" s="13">
        <f t="shared" si="13"/>
        <v>0</v>
      </c>
    </row>
    <row r="244" spans="1:27" ht="14.25">
      <c r="A244" s="3">
        <f t="shared" si="32"/>
        <v>242</v>
      </c>
      <c r="B244" s="29">
        <f t="shared" si="20"/>
        <v>43234</v>
      </c>
      <c r="C244" s="5">
        <f>41/63</f>
        <v>0.6507936507936508</v>
      </c>
      <c r="D244" s="5">
        <f t="shared" si="27"/>
        <v>0.3492063492063492</v>
      </c>
      <c r="E244" s="6">
        <f t="shared" si="1"/>
        <v>0.3015873015873016</v>
      </c>
      <c r="F244" s="5">
        <v>0.6611</v>
      </c>
      <c r="G244" s="5">
        <v>0.6901999999999999</v>
      </c>
      <c r="H244" s="5">
        <v>0.6068</v>
      </c>
      <c r="I244" s="6">
        <f t="shared" si="2"/>
        <v>0.08339999999999992</v>
      </c>
      <c r="J244" s="6">
        <f t="shared" si="29"/>
        <v>0</v>
      </c>
      <c r="K244" s="8">
        <v>0.69</v>
      </c>
      <c r="L244" s="9" t="s">
        <v>5</v>
      </c>
      <c r="M244" s="3">
        <f t="shared" si="4"/>
        <v>0</v>
      </c>
      <c r="N244" s="30">
        <f t="shared" si="30"/>
        <v>0</v>
      </c>
      <c r="O244" s="3">
        <f t="shared" si="31"/>
        <v>0</v>
      </c>
      <c r="P244" s="10">
        <f t="shared" si="7"/>
        <v>0</v>
      </c>
      <c r="Q244" s="6">
        <f t="shared" si="14"/>
        <v>0.5</v>
      </c>
      <c r="R244" s="11">
        <v>2738.47</v>
      </c>
      <c r="S244" s="11">
        <v>2712.97</v>
      </c>
      <c r="T244" s="12">
        <f t="shared" si="8"/>
        <v>-25.5</v>
      </c>
      <c r="U244" s="13">
        <f t="shared" si="9"/>
        <v>-0.009311768980489106</v>
      </c>
      <c r="V244" s="6">
        <f t="shared" si="16"/>
        <v>0.36363636363636365</v>
      </c>
      <c r="W244" s="6">
        <f t="shared" si="28"/>
        <v>0.5098039215686274</v>
      </c>
      <c r="X244" s="3">
        <f t="shared" si="10"/>
        <v>1</v>
      </c>
      <c r="Y244" s="3">
        <f t="shared" si="11"/>
        <v>0</v>
      </c>
      <c r="Z244" s="10">
        <f t="shared" si="12"/>
        <v>0</v>
      </c>
      <c r="AA244" s="13">
        <f t="shared" si="13"/>
        <v>0</v>
      </c>
    </row>
    <row r="245" spans="1:27" ht="14.25">
      <c r="A245" s="3">
        <f t="shared" si="32"/>
        <v>243</v>
      </c>
      <c r="B245" s="29">
        <f t="shared" si="20"/>
        <v>43241</v>
      </c>
      <c r="C245" s="5">
        <f>23/47</f>
        <v>0.48936170212765956</v>
      </c>
      <c r="D245" s="5">
        <f t="shared" si="27"/>
        <v>0.5106382978723405</v>
      </c>
      <c r="E245" s="6">
        <f t="shared" si="1"/>
        <v>-0.021276595744680937</v>
      </c>
      <c r="F245" s="5">
        <v>0.6426000000000001</v>
      </c>
      <c r="G245" s="5">
        <v>0.6239</v>
      </c>
      <c r="H245" s="5">
        <v>0.6604000000000001</v>
      </c>
      <c r="I245" s="6">
        <f t="shared" si="2"/>
        <v>-0.03650000000000009</v>
      </c>
      <c r="J245" s="6">
        <f t="shared" si="29"/>
        <v>0</v>
      </c>
      <c r="K245" s="8">
        <v>0.87</v>
      </c>
      <c r="L245" s="9" t="s">
        <v>5</v>
      </c>
      <c r="M245" s="3">
        <f t="shared" si="4"/>
        <v>0</v>
      </c>
      <c r="N245" s="30">
        <f t="shared" si="30"/>
        <v>0</v>
      </c>
      <c r="O245" s="3">
        <f t="shared" si="31"/>
        <v>1</v>
      </c>
      <c r="P245" s="10">
        <f t="shared" si="7"/>
        <v>0</v>
      </c>
      <c r="Q245" s="6">
        <f t="shared" si="14"/>
        <v>0.502092050209205</v>
      </c>
      <c r="R245" s="11">
        <v>2735.39</v>
      </c>
      <c r="S245" s="11">
        <v>2721.33</v>
      </c>
      <c r="T245" s="12">
        <f t="shared" si="8"/>
        <v>-14.059999999999945</v>
      </c>
      <c r="U245" s="13">
        <f t="shared" si="9"/>
        <v>-0.005140034876196793</v>
      </c>
      <c r="V245" s="6">
        <f t="shared" si="16"/>
        <v>0.36363636363636365</v>
      </c>
      <c r="W245" s="6">
        <f t="shared" si="28"/>
        <v>0.5098039215686274</v>
      </c>
      <c r="X245" s="3">
        <f t="shared" si="10"/>
        <v>0</v>
      </c>
      <c r="Y245" s="3">
        <f t="shared" si="11"/>
        <v>1</v>
      </c>
      <c r="Z245" s="10">
        <f t="shared" si="12"/>
        <v>0</v>
      </c>
      <c r="AA245" s="13">
        <f t="shared" si="13"/>
        <v>0</v>
      </c>
    </row>
    <row r="246" spans="1:27" ht="14.25">
      <c r="A246" s="3">
        <f t="shared" si="32"/>
        <v>244</v>
      </c>
      <c r="B246" s="29">
        <f t="shared" si="20"/>
        <v>43248</v>
      </c>
      <c r="C246" s="5">
        <f>31/48</f>
        <v>0.6458333333333334</v>
      </c>
      <c r="D246" s="5">
        <f t="shared" si="27"/>
        <v>0.35416666666666663</v>
      </c>
      <c r="E246" s="6">
        <f t="shared" si="1"/>
        <v>0.29166666666666674</v>
      </c>
      <c r="F246" s="5">
        <v>0.6593800000000001</v>
      </c>
      <c r="G246" s="5">
        <v>0.648</v>
      </c>
      <c r="H246" s="5">
        <v>0.669</v>
      </c>
      <c r="I246" s="6">
        <f t="shared" si="2"/>
        <v>-0.02100000000000002</v>
      </c>
      <c r="J246" s="6">
        <f t="shared" si="29"/>
        <v>0</v>
      </c>
      <c r="K246" s="8">
        <v>0.54</v>
      </c>
      <c r="L246" s="9" t="s">
        <v>5</v>
      </c>
      <c r="M246" s="3">
        <f t="shared" si="4"/>
        <v>0</v>
      </c>
      <c r="N246" s="30">
        <f t="shared" si="30"/>
        <v>0</v>
      </c>
      <c r="O246" s="3">
        <f t="shared" si="31"/>
        <v>1</v>
      </c>
      <c r="P246" s="10">
        <f t="shared" si="7"/>
        <v>1</v>
      </c>
      <c r="Q246" s="6">
        <f t="shared" si="14"/>
        <v>0.5041666666666667</v>
      </c>
      <c r="R246" s="11">
        <v>2705.11</v>
      </c>
      <c r="S246" s="11">
        <v>2734.62</v>
      </c>
      <c r="T246" s="12">
        <f t="shared" si="8"/>
        <v>29.509999999999764</v>
      </c>
      <c r="U246" s="13">
        <f t="shared" si="9"/>
        <v>0.010908983368513576</v>
      </c>
      <c r="V246" s="6">
        <f t="shared" si="16"/>
        <v>0.45454545454545453</v>
      </c>
      <c r="W246" s="6">
        <f t="shared" si="28"/>
        <v>0.5294117647058824</v>
      </c>
      <c r="X246" s="3">
        <f t="shared" si="10"/>
        <v>1</v>
      </c>
      <c r="Y246" s="3">
        <f t="shared" si="11"/>
        <v>1</v>
      </c>
      <c r="Z246" s="10">
        <f t="shared" si="12"/>
        <v>1</v>
      </c>
      <c r="AA246" s="13">
        <f t="shared" si="13"/>
        <v>0.010908983368513576</v>
      </c>
    </row>
    <row r="247" spans="1:27" ht="14.25">
      <c r="A247" s="3">
        <f t="shared" si="32"/>
        <v>245</v>
      </c>
      <c r="B247" s="29">
        <f t="shared" si="20"/>
        <v>43255</v>
      </c>
      <c r="C247" s="5">
        <f>25/38</f>
        <v>0.6578947368421053</v>
      </c>
      <c r="D247" s="5">
        <f t="shared" si="27"/>
        <v>0.3421052631578947</v>
      </c>
      <c r="E247" s="6">
        <f t="shared" si="1"/>
        <v>0.3157894736842106</v>
      </c>
      <c r="F247" s="5">
        <v>0.675</v>
      </c>
      <c r="G247" s="5">
        <v>0.7040000000000001</v>
      </c>
      <c r="H247" s="5">
        <v>0.6192</v>
      </c>
      <c r="I247" s="6">
        <f t="shared" si="2"/>
        <v>0.0848000000000001</v>
      </c>
      <c r="J247" s="6">
        <f t="shared" si="29"/>
        <v>0</v>
      </c>
      <c r="K247" s="8">
        <v>0.58</v>
      </c>
      <c r="L247" s="9" t="s">
        <v>5</v>
      </c>
      <c r="M247" s="3">
        <f t="shared" si="4"/>
        <v>0</v>
      </c>
      <c r="N247" s="30">
        <f t="shared" si="30"/>
        <v>0</v>
      </c>
      <c r="O247" s="3">
        <f t="shared" si="31"/>
        <v>1</v>
      </c>
      <c r="P247" s="10">
        <f t="shared" si="7"/>
        <v>1</v>
      </c>
      <c r="Q247" s="6">
        <f t="shared" si="14"/>
        <v>0.5062240663900415</v>
      </c>
      <c r="R247" s="11">
        <v>2741.67</v>
      </c>
      <c r="S247" s="11">
        <v>2779.03</v>
      </c>
      <c r="T247" s="12">
        <f t="shared" si="8"/>
        <v>37.36000000000013</v>
      </c>
      <c r="U247" s="13">
        <f t="shared" si="9"/>
        <v>0.013626731152910498</v>
      </c>
      <c r="V247" s="6">
        <f t="shared" si="16"/>
        <v>0.5454545454545454</v>
      </c>
      <c r="W247" s="6">
        <f t="shared" si="28"/>
        <v>0.5294117647058824</v>
      </c>
      <c r="X247" s="3">
        <f t="shared" si="10"/>
        <v>1</v>
      </c>
      <c r="Y247" s="3">
        <f t="shared" si="11"/>
        <v>0</v>
      </c>
      <c r="Z247" s="10">
        <f t="shared" si="12"/>
        <v>0</v>
      </c>
      <c r="AA247" s="13">
        <f t="shared" si="13"/>
        <v>0</v>
      </c>
    </row>
    <row r="248" spans="1:27" ht="14.25">
      <c r="A248" s="3">
        <f t="shared" si="32"/>
        <v>246</v>
      </c>
      <c r="B248" s="29">
        <f t="shared" si="20"/>
        <v>43262</v>
      </c>
      <c r="C248" s="5">
        <f>36/53</f>
        <v>0.6792452830188679</v>
      </c>
      <c r="D248" s="5">
        <f t="shared" si="27"/>
        <v>0.3207547169811321</v>
      </c>
      <c r="E248" s="6">
        <f t="shared" si="1"/>
        <v>0.35849056603773577</v>
      </c>
      <c r="F248" s="5">
        <v>0.6585</v>
      </c>
      <c r="G248" s="5">
        <v>0.6819</v>
      </c>
      <c r="H248" s="5">
        <v>0.6088</v>
      </c>
      <c r="I248" s="6">
        <f t="shared" si="2"/>
        <v>0.07309999999999994</v>
      </c>
      <c r="J248" s="6">
        <f t="shared" si="29"/>
        <v>0</v>
      </c>
      <c r="K248" s="8">
        <v>0.62</v>
      </c>
      <c r="L248" s="9" t="s">
        <v>5</v>
      </c>
      <c r="M248" s="3">
        <f t="shared" si="4"/>
        <v>0</v>
      </c>
      <c r="N248" s="30">
        <f t="shared" si="30"/>
        <v>0</v>
      </c>
      <c r="O248" s="3">
        <f t="shared" si="31"/>
        <v>0</v>
      </c>
      <c r="P248" s="10">
        <f t="shared" si="7"/>
        <v>0</v>
      </c>
      <c r="Q248" s="6">
        <f t="shared" si="14"/>
        <v>0.5041322314049587</v>
      </c>
      <c r="R248" s="11">
        <v>2780.18</v>
      </c>
      <c r="S248" s="11">
        <v>2779.42</v>
      </c>
      <c r="T248" s="12">
        <f t="shared" si="8"/>
        <v>-0.7599999999997635</v>
      </c>
      <c r="U248" s="13">
        <f t="shared" si="9"/>
        <v>-0.0002733635951628181</v>
      </c>
      <c r="V248" s="6">
        <f t="shared" si="16"/>
        <v>0.5454545454545454</v>
      </c>
      <c r="W248" s="6">
        <f t="shared" si="28"/>
        <v>0.5294117647058824</v>
      </c>
      <c r="X248" s="3">
        <f t="shared" si="10"/>
        <v>1</v>
      </c>
      <c r="Y248" s="3">
        <f t="shared" si="11"/>
        <v>0</v>
      </c>
      <c r="Z248" s="10">
        <f t="shared" si="12"/>
        <v>0</v>
      </c>
      <c r="AA248" s="13">
        <f t="shared" si="13"/>
        <v>0</v>
      </c>
    </row>
    <row r="249" spans="1:27" ht="14.25">
      <c r="A249" s="3">
        <f t="shared" si="32"/>
        <v>247</v>
      </c>
      <c r="B249" s="29">
        <f t="shared" si="20"/>
        <v>43269</v>
      </c>
      <c r="C249" s="5">
        <f>21/38</f>
        <v>0.5526315789473685</v>
      </c>
      <c r="D249" s="5">
        <f t="shared" si="27"/>
        <v>0.4473684210526315</v>
      </c>
      <c r="E249" s="6">
        <f t="shared" si="1"/>
        <v>0.10526315789473695</v>
      </c>
      <c r="F249" s="5">
        <v>0.6711</v>
      </c>
      <c r="G249" s="5">
        <v>0.6618999999999999</v>
      </c>
      <c r="H249" s="5">
        <v>0.6823999999999999</v>
      </c>
      <c r="I249" s="6">
        <f t="shared" si="2"/>
        <v>-0.020499999999999963</v>
      </c>
      <c r="J249" s="6">
        <f t="shared" si="29"/>
        <v>0</v>
      </c>
      <c r="K249" s="8">
        <v>0.53</v>
      </c>
      <c r="L249" s="9" t="s">
        <v>28</v>
      </c>
      <c r="M249" s="3">
        <f t="shared" si="4"/>
        <v>0</v>
      </c>
      <c r="N249" s="30">
        <f t="shared" si="30"/>
        <v>0</v>
      </c>
      <c r="O249" s="3">
        <f t="shared" si="31"/>
        <v>0</v>
      </c>
      <c r="P249" s="10">
        <f t="shared" si="7"/>
        <v>0</v>
      </c>
      <c r="Q249" s="6">
        <f t="shared" si="14"/>
        <v>0.5020576131687243</v>
      </c>
      <c r="R249" s="11">
        <v>2765.79</v>
      </c>
      <c r="S249" s="11">
        <v>2754.88</v>
      </c>
      <c r="T249" s="12">
        <f t="shared" si="8"/>
        <v>-10.909999999999854</v>
      </c>
      <c r="U249" s="13">
        <f t="shared" si="9"/>
        <v>-0.003944623416817565</v>
      </c>
      <c r="V249" s="6">
        <f t="shared" si="16"/>
        <v>0.5454545454545454</v>
      </c>
      <c r="W249" s="6">
        <f t="shared" si="28"/>
        <v>0.5294117647058824</v>
      </c>
      <c r="X249" s="3">
        <f t="shared" si="10"/>
        <v>1</v>
      </c>
      <c r="Y249" s="3">
        <f t="shared" si="11"/>
        <v>1</v>
      </c>
      <c r="Z249" s="10">
        <f t="shared" si="12"/>
        <v>0</v>
      </c>
      <c r="AA249" s="13">
        <f t="shared" si="13"/>
        <v>-0.003944623416817565</v>
      </c>
    </row>
    <row r="250" spans="1:27" ht="14.25">
      <c r="A250" s="3">
        <f t="shared" si="32"/>
        <v>248</v>
      </c>
      <c r="B250" s="29">
        <f t="shared" si="20"/>
        <v>43276</v>
      </c>
      <c r="C250" s="5">
        <f>17/38</f>
        <v>0.4473684210526316</v>
      </c>
      <c r="D250" s="5">
        <f t="shared" si="27"/>
        <v>0.5526315789473684</v>
      </c>
      <c r="E250" s="6">
        <f t="shared" si="1"/>
        <v>-0.10526315789473678</v>
      </c>
      <c r="F250" s="5">
        <v>0.6474</v>
      </c>
      <c r="G250" s="5">
        <v>0.6324000000000001</v>
      </c>
      <c r="H250" s="5">
        <v>0.6595</v>
      </c>
      <c r="I250" s="6">
        <f t="shared" si="2"/>
        <v>-0.027099999999999902</v>
      </c>
      <c r="J250" s="6">
        <f t="shared" si="29"/>
        <v>0</v>
      </c>
      <c r="K250" s="8">
        <v>0.59</v>
      </c>
      <c r="L250" s="9" t="s">
        <v>5</v>
      </c>
      <c r="M250" s="3">
        <f t="shared" si="4"/>
        <v>0</v>
      </c>
      <c r="N250" s="30">
        <f t="shared" si="30"/>
        <v>0</v>
      </c>
      <c r="O250" s="3">
        <f t="shared" si="31"/>
        <v>1</v>
      </c>
      <c r="P250" s="10">
        <f t="shared" si="7"/>
        <v>0</v>
      </c>
      <c r="Q250" s="6">
        <f t="shared" si="14"/>
        <v>0.5040983606557377</v>
      </c>
      <c r="R250" s="11">
        <v>2742.94</v>
      </c>
      <c r="S250" s="11">
        <v>2718.37</v>
      </c>
      <c r="T250" s="12">
        <f t="shared" si="8"/>
        <v>-24.570000000000164</v>
      </c>
      <c r="U250" s="13">
        <f t="shared" si="9"/>
        <v>-0.008957541907588268</v>
      </c>
      <c r="V250" s="6">
        <f t="shared" si="16"/>
        <v>0.5454545454545454</v>
      </c>
      <c r="W250" s="6">
        <f t="shared" si="28"/>
        <v>0.5490196078431373</v>
      </c>
      <c r="X250" s="3">
        <f t="shared" si="10"/>
        <v>0</v>
      </c>
      <c r="Y250" s="3">
        <f t="shared" si="11"/>
        <v>1</v>
      </c>
      <c r="Z250" s="10">
        <f t="shared" si="12"/>
        <v>0</v>
      </c>
      <c r="AA250" s="13">
        <f t="shared" si="13"/>
        <v>0</v>
      </c>
    </row>
    <row r="251" spans="1:27" ht="14.25">
      <c r="A251" s="3">
        <f t="shared" si="32"/>
        <v>249</v>
      </c>
      <c r="B251" s="29">
        <f t="shared" si="20"/>
        <v>43283</v>
      </c>
      <c r="C251" s="5">
        <f>25/40</f>
        <v>0.625</v>
      </c>
      <c r="D251" s="5">
        <f t="shared" si="27"/>
        <v>0.375</v>
      </c>
      <c r="E251" s="6">
        <f t="shared" si="1"/>
        <v>0.25</v>
      </c>
      <c r="F251" s="5">
        <v>0.6525</v>
      </c>
      <c r="G251" s="5">
        <v>0.626</v>
      </c>
      <c r="H251" s="5">
        <v>0.6967</v>
      </c>
      <c r="I251" s="6">
        <f t="shared" si="2"/>
        <v>-0.07069999999999999</v>
      </c>
      <c r="J251" s="6">
        <f t="shared" si="29"/>
        <v>0</v>
      </c>
      <c r="K251" s="8">
        <v>0.59</v>
      </c>
      <c r="L251" s="9" t="s">
        <v>28</v>
      </c>
      <c r="M251" s="3">
        <f t="shared" si="4"/>
        <v>0</v>
      </c>
      <c r="N251" s="30">
        <f t="shared" si="30"/>
        <v>0</v>
      </c>
      <c r="O251" s="3">
        <f t="shared" si="31"/>
        <v>1</v>
      </c>
      <c r="P251" s="10">
        <f t="shared" si="7"/>
        <v>1</v>
      </c>
      <c r="Q251" s="6">
        <f t="shared" si="14"/>
        <v>0.5061224489795918</v>
      </c>
      <c r="R251" s="11">
        <v>2704.95</v>
      </c>
      <c r="S251" s="11">
        <v>2759.82</v>
      </c>
      <c r="T251" s="12">
        <f t="shared" si="8"/>
        <v>54.870000000000346</v>
      </c>
      <c r="U251" s="13">
        <f t="shared" si="9"/>
        <v>0.020285032995064733</v>
      </c>
      <c r="V251" s="6">
        <f t="shared" si="16"/>
        <v>0.5454545454545454</v>
      </c>
      <c r="W251" s="6">
        <f t="shared" si="28"/>
        <v>0.5490196078431373</v>
      </c>
      <c r="X251" s="3">
        <f t="shared" si="10"/>
        <v>1</v>
      </c>
      <c r="Y251" s="3">
        <f t="shared" si="11"/>
        <v>1</v>
      </c>
      <c r="Z251" s="10">
        <f t="shared" si="12"/>
        <v>1</v>
      </c>
      <c r="AA251" s="13">
        <f t="shared" si="13"/>
        <v>0.020285032995064733</v>
      </c>
    </row>
    <row r="252" spans="1:27" ht="14.25">
      <c r="A252" s="3">
        <f t="shared" si="32"/>
        <v>250</v>
      </c>
      <c r="B252" s="29">
        <f t="shared" si="20"/>
        <v>43290</v>
      </c>
      <c r="C252" s="5">
        <f>32/45</f>
        <v>0.7111111111111111</v>
      </c>
      <c r="D252" s="5">
        <f t="shared" si="27"/>
        <v>0.28888888888888886</v>
      </c>
      <c r="E252" s="6">
        <f t="shared" si="1"/>
        <v>0.4222222222222223</v>
      </c>
      <c r="F252" s="5">
        <v>0.6611</v>
      </c>
      <c r="G252" s="5">
        <v>0.6469</v>
      </c>
      <c r="H252" s="5">
        <v>0.6962</v>
      </c>
      <c r="I252" s="6">
        <f t="shared" si="2"/>
        <v>-0.04930000000000001</v>
      </c>
      <c r="J252" s="6">
        <f t="shared" si="29"/>
        <v>0</v>
      </c>
      <c r="K252" s="8">
        <v>0.56</v>
      </c>
      <c r="L252" s="9" t="s">
        <v>28</v>
      </c>
      <c r="M252" s="3">
        <f t="shared" si="4"/>
        <v>0</v>
      </c>
      <c r="N252" s="30">
        <f t="shared" si="30"/>
        <v>0</v>
      </c>
      <c r="O252" s="3">
        <f t="shared" si="31"/>
        <v>1</v>
      </c>
      <c r="P252" s="10">
        <f t="shared" si="7"/>
        <v>1</v>
      </c>
      <c r="Q252" s="6">
        <f t="shared" si="14"/>
        <v>0.508130081300813</v>
      </c>
      <c r="R252" s="11">
        <v>2775.62</v>
      </c>
      <c r="S252" s="11">
        <v>2801.31</v>
      </c>
      <c r="T252" s="12">
        <f t="shared" si="8"/>
        <v>25.690000000000055</v>
      </c>
      <c r="U252" s="13">
        <f t="shared" si="9"/>
        <v>0.009255589742111693</v>
      </c>
      <c r="V252" s="6">
        <f t="shared" si="16"/>
        <v>0.6363636363636364</v>
      </c>
      <c r="W252" s="6">
        <f t="shared" si="28"/>
        <v>0.5490196078431373</v>
      </c>
      <c r="X252" s="3">
        <f t="shared" si="10"/>
        <v>1</v>
      </c>
      <c r="Y252" s="3">
        <f t="shared" si="11"/>
        <v>1</v>
      </c>
      <c r="Z252" s="10">
        <f t="shared" si="12"/>
        <v>1</v>
      </c>
      <c r="AA252" s="13">
        <f t="shared" si="13"/>
        <v>0.009255589742111693</v>
      </c>
    </row>
    <row r="253" spans="1:27" ht="14.25">
      <c r="A253" s="3">
        <f t="shared" si="32"/>
        <v>251</v>
      </c>
      <c r="B253" s="29">
        <f t="shared" si="20"/>
        <v>43297</v>
      </c>
      <c r="C253" s="5">
        <f>33/44</f>
        <v>0.75</v>
      </c>
      <c r="D253" s="5">
        <f t="shared" si="27"/>
        <v>0.25</v>
      </c>
      <c r="E253" s="6">
        <f t="shared" si="1"/>
        <v>0.5</v>
      </c>
      <c r="F253" s="5">
        <v>0.6909000000000001</v>
      </c>
      <c r="G253" s="5">
        <v>0.7197</v>
      </c>
      <c r="H253" s="5">
        <v>0.6045</v>
      </c>
      <c r="I253" s="6">
        <f t="shared" si="2"/>
        <v>0.11519999999999997</v>
      </c>
      <c r="J253" s="6">
        <f t="shared" si="29"/>
        <v>0</v>
      </c>
      <c r="K253" s="8">
        <v>0.63</v>
      </c>
      <c r="L253" s="9" t="s">
        <v>5</v>
      </c>
      <c r="M253" s="3">
        <f t="shared" si="4"/>
        <v>0</v>
      </c>
      <c r="N253" s="30">
        <f t="shared" si="30"/>
        <v>0</v>
      </c>
      <c r="O253" s="3">
        <f t="shared" si="31"/>
        <v>1</v>
      </c>
      <c r="P253" s="10">
        <f t="shared" si="7"/>
        <v>1</v>
      </c>
      <c r="Q253" s="6">
        <f t="shared" si="14"/>
        <v>0.5101214574898786</v>
      </c>
      <c r="R253" s="11">
        <v>2797.36</v>
      </c>
      <c r="S253" s="11">
        <v>2801.83</v>
      </c>
      <c r="T253" s="12">
        <f t="shared" si="8"/>
        <v>4.4699999999998</v>
      </c>
      <c r="U253" s="13">
        <f t="shared" si="9"/>
        <v>0.0015979351960419108</v>
      </c>
      <c r="V253" s="6">
        <f t="shared" si="16"/>
        <v>0.7272727272727273</v>
      </c>
      <c r="W253" s="6">
        <f t="shared" si="28"/>
        <v>0.5490196078431373</v>
      </c>
      <c r="X253" s="3">
        <f t="shared" si="10"/>
        <v>1</v>
      </c>
      <c r="Y253" s="3">
        <f t="shared" si="11"/>
        <v>0</v>
      </c>
      <c r="Z253" s="10">
        <f t="shared" si="12"/>
        <v>0</v>
      </c>
      <c r="AA253" s="13">
        <f t="shared" si="13"/>
        <v>0</v>
      </c>
    </row>
    <row r="254" spans="1:27" ht="14.25">
      <c r="A254" s="3">
        <f t="shared" si="32"/>
        <v>252</v>
      </c>
      <c r="B254" s="29">
        <f t="shared" si="20"/>
        <v>43304</v>
      </c>
      <c r="C254" s="5">
        <v>0.513</v>
      </c>
      <c r="D254" s="5">
        <f t="shared" si="27"/>
        <v>0.487</v>
      </c>
      <c r="E254" s="6">
        <f t="shared" si="1"/>
        <v>0.026000000000000023</v>
      </c>
      <c r="F254" s="5">
        <v>0.659</v>
      </c>
      <c r="G254" s="5">
        <v>0.6779999999999999</v>
      </c>
      <c r="H254" s="5">
        <v>0.64</v>
      </c>
      <c r="I254" s="6">
        <f t="shared" si="2"/>
        <v>0.03799999999999992</v>
      </c>
      <c r="J254" s="6">
        <f t="shared" si="29"/>
        <v>0</v>
      </c>
      <c r="K254" s="8">
        <v>0.64</v>
      </c>
      <c r="L254" s="9" t="s">
        <v>28</v>
      </c>
      <c r="M254" s="3">
        <f t="shared" si="4"/>
        <v>0</v>
      </c>
      <c r="N254" s="30">
        <f t="shared" si="30"/>
        <v>0</v>
      </c>
      <c r="O254" s="3">
        <f t="shared" si="31"/>
        <v>1</v>
      </c>
      <c r="P254" s="10">
        <f t="shared" si="7"/>
        <v>1</v>
      </c>
      <c r="Q254" s="6">
        <f t="shared" si="14"/>
        <v>0.5120967741935484</v>
      </c>
      <c r="R254" s="11">
        <v>2799.17</v>
      </c>
      <c r="S254" s="11">
        <v>2818.82</v>
      </c>
      <c r="T254" s="12">
        <f t="shared" si="8"/>
        <v>19.65000000000009</v>
      </c>
      <c r="U254" s="13">
        <f t="shared" si="9"/>
        <v>0.007019938053065763</v>
      </c>
      <c r="V254" s="6">
        <f t="shared" si="16"/>
        <v>0.7272727272727273</v>
      </c>
      <c r="W254" s="6">
        <f t="shared" si="28"/>
        <v>0.5686274509803921</v>
      </c>
      <c r="X254" s="3">
        <f t="shared" si="10"/>
        <v>1</v>
      </c>
      <c r="Y254" s="3">
        <f t="shared" si="11"/>
        <v>0</v>
      </c>
      <c r="Z254" s="10">
        <f t="shared" si="12"/>
        <v>0</v>
      </c>
      <c r="AA254" s="13">
        <f t="shared" si="13"/>
        <v>0</v>
      </c>
    </row>
    <row r="255" spans="1:27" ht="14.25">
      <c r="A255" s="3">
        <f t="shared" si="32"/>
        <v>253</v>
      </c>
      <c r="B255" s="29">
        <f t="shared" si="20"/>
        <v>43311</v>
      </c>
      <c r="C255" s="5">
        <f>18/39</f>
        <v>0.46153846153846156</v>
      </c>
      <c r="D255" s="5">
        <f t="shared" si="27"/>
        <v>0.5384615384615384</v>
      </c>
      <c r="E255" s="6">
        <f t="shared" si="1"/>
        <v>-0.07692307692307687</v>
      </c>
      <c r="F255" s="5">
        <v>0.6846</v>
      </c>
      <c r="G255" s="5">
        <v>0.6972</v>
      </c>
      <c r="H255" s="5">
        <v>0.6738</v>
      </c>
      <c r="I255" s="6">
        <f t="shared" si="2"/>
        <v>0.023400000000000087</v>
      </c>
      <c r="J255" s="6">
        <f t="shared" si="29"/>
        <v>0</v>
      </c>
      <c r="K255" s="8">
        <v>0.64</v>
      </c>
      <c r="L255" s="9" t="s">
        <v>5</v>
      </c>
      <c r="M255" s="3">
        <f t="shared" si="4"/>
        <v>0</v>
      </c>
      <c r="N255" s="30">
        <f t="shared" si="30"/>
        <v>0</v>
      </c>
      <c r="O255" s="3">
        <f t="shared" si="31"/>
        <v>0</v>
      </c>
      <c r="P255" s="10">
        <f t="shared" si="7"/>
        <v>1</v>
      </c>
      <c r="Q255" s="6">
        <f t="shared" si="14"/>
        <v>0.5100401606425703</v>
      </c>
      <c r="R255" s="11">
        <v>2819</v>
      </c>
      <c r="S255" s="11">
        <v>2840.35</v>
      </c>
      <c r="T255" s="12">
        <f t="shared" si="8"/>
        <v>21.34999999999991</v>
      </c>
      <c r="U255" s="13">
        <f t="shared" si="9"/>
        <v>0.0075736076622915606</v>
      </c>
      <c r="V255" s="6">
        <f t="shared" si="16"/>
        <v>0.7272727272727273</v>
      </c>
      <c r="W255" s="6">
        <f t="shared" si="28"/>
        <v>0.5490196078431373</v>
      </c>
      <c r="X255" s="3">
        <f t="shared" si="10"/>
        <v>0</v>
      </c>
      <c r="Y255" s="3">
        <f t="shared" si="11"/>
        <v>0</v>
      </c>
      <c r="Z255" s="10">
        <f t="shared" si="12"/>
        <v>0</v>
      </c>
      <c r="AA255" s="13">
        <f t="shared" si="13"/>
        <v>0</v>
      </c>
    </row>
    <row r="256" spans="1:27" ht="14.25">
      <c r="A256" s="3">
        <f t="shared" si="32"/>
        <v>254</v>
      </c>
      <c r="B256" s="29">
        <f t="shared" si="20"/>
        <v>43318</v>
      </c>
      <c r="C256" s="5">
        <f>23/37</f>
        <v>0.6216216216216216</v>
      </c>
      <c r="D256" s="5">
        <f t="shared" si="27"/>
        <v>0.3783783783783784</v>
      </c>
      <c r="E256" s="6">
        <f t="shared" si="1"/>
        <v>0.2432432432432432</v>
      </c>
      <c r="F256" s="5">
        <v>0.6581</v>
      </c>
      <c r="G256" s="5">
        <v>0.6761</v>
      </c>
      <c r="H256" s="5">
        <v>0.6286</v>
      </c>
      <c r="I256" s="6">
        <f t="shared" si="2"/>
        <v>0.04749999999999999</v>
      </c>
      <c r="J256" s="6">
        <f t="shared" si="29"/>
        <v>0</v>
      </c>
      <c r="K256" s="8">
        <v>0.73</v>
      </c>
      <c r="L256" s="9" t="s">
        <v>5</v>
      </c>
      <c r="M256" s="3">
        <f t="shared" si="4"/>
        <v>0</v>
      </c>
      <c r="N256" s="30">
        <f t="shared" si="30"/>
        <v>0</v>
      </c>
      <c r="O256" s="3">
        <f t="shared" si="31"/>
        <v>0</v>
      </c>
      <c r="P256" s="10">
        <f t="shared" si="7"/>
        <v>0</v>
      </c>
      <c r="Q256" s="6">
        <f t="shared" si="14"/>
        <v>0.508</v>
      </c>
      <c r="R256" s="11">
        <v>2840.29</v>
      </c>
      <c r="S256" s="11">
        <v>2833.28</v>
      </c>
      <c r="T256" s="12">
        <f t="shared" si="8"/>
        <v>-7.0099999999997635</v>
      </c>
      <c r="U256" s="13">
        <f t="shared" si="9"/>
        <v>-0.0024680578391642273</v>
      </c>
      <c r="V256" s="6">
        <f t="shared" si="16"/>
        <v>0.6363636363636364</v>
      </c>
      <c r="W256" s="6">
        <f t="shared" si="28"/>
        <v>0.5490196078431373</v>
      </c>
      <c r="X256" s="3">
        <f t="shared" si="10"/>
        <v>1</v>
      </c>
      <c r="Y256" s="3">
        <f t="shared" si="11"/>
        <v>0</v>
      </c>
      <c r="Z256" s="10">
        <f t="shared" si="12"/>
        <v>0</v>
      </c>
      <c r="AA256" s="13">
        <f t="shared" si="13"/>
        <v>0</v>
      </c>
    </row>
    <row r="257" spans="1:27" ht="14.25">
      <c r="A257" s="3">
        <f t="shared" si="32"/>
        <v>255</v>
      </c>
      <c r="B257" s="29">
        <f t="shared" si="20"/>
        <v>43325</v>
      </c>
      <c r="C257" s="5">
        <f>17/36</f>
        <v>0.4722222222222222</v>
      </c>
      <c r="D257" s="5">
        <f t="shared" si="27"/>
        <v>0.5277777777777778</v>
      </c>
      <c r="E257" s="6">
        <f t="shared" si="1"/>
        <v>-0.05555555555555558</v>
      </c>
      <c r="F257" s="5">
        <v>0.6457999999999999</v>
      </c>
      <c r="G257" s="5">
        <v>0.65</v>
      </c>
      <c r="H257" s="5">
        <v>0.6420999999999999</v>
      </c>
      <c r="I257" s="6">
        <f t="shared" si="2"/>
        <v>0.00790000000000013</v>
      </c>
      <c r="J257" s="6">
        <f t="shared" si="29"/>
        <v>0</v>
      </c>
      <c r="K257" s="8">
        <v>0.65</v>
      </c>
      <c r="L257" s="9" t="s">
        <v>5</v>
      </c>
      <c r="M257" s="3">
        <f t="shared" si="4"/>
        <v>0</v>
      </c>
      <c r="N257" s="30">
        <f t="shared" si="30"/>
        <v>0</v>
      </c>
      <c r="O257" s="3">
        <f t="shared" si="31"/>
        <v>0</v>
      </c>
      <c r="P257" s="10">
        <f t="shared" si="7"/>
        <v>1</v>
      </c>
      <c r="Q257" s="6">
        <f t="shared" si="14"/>
        <v>0.5059760956175299</v>
      </c>
      <c r="R257" s="11">
        <v>2835.46</v>
      </c>
      <c r="S257" s="11">
        <v>2850.13</v>
      </c>
      <c r="T257" s="12">
        <f t="shared" si="8"/>
        <v>14.670000000000073</v>
      </c>
      <c r="U257" s="13">
        <f t="shared" si="9"/>
        <v>0.00517376369266365</v>
      </c>
      <c r="V257" s="6">
        <f t="shared" si="16"/>
        <v>0.5454545454545454</v>
      </c>
      <c r="W257" s="6">
        <f t="shared" si="28"/>
        <v>0.5490196078431373</v>
      </c>
      <c r="X257" s="3">
        <f t="shared" si="10"/>
        <v>0</v>
      </c>
      <c r="Y257" s="3">
        <f t="shared" si="11"/>
        <v>0</v>
      </c>
      <c r="Z257" s="10">
        <f t="shared" si="12"/>
        <v>0</v>
      </c>
      <c r="AA257" s="13">
        <f t="shared" si="13"/>
        <v>0</v>
      </c>
    </row>
    <row r="258" spans="1:27" ht="14.25">
      <c r="A258" s="3">
        <f t="shared" si="32"/>
        <v>256</v>
      </c>
      <c r="B258" s="29">
        <f t="shared" si="20"/>
        <v>43332</v>
      </c>
      <c r="C258" s="5">
        <f>24/42</f>
        <v>0.5714285714285714</v>
      </c>
      <c r="D258" s="5">
        <f t="shared" si="27"/>
        <v>0.4285714285714286</v>
      </c>
      <c r="E258" s="6">
        <f t="shared" si="1"/>
        <v>0.1428571428571428</v>
      </c>
      <c r="F258" s="5">
        <v>0.6701999999999999</v>
      </c>
      <c r="G258" s="5">
        <v>0.6604000000000001</v>
      </c>
      <c r="H258" s="5">
        <v>0.6833</v>
      </c>
      <c r="I258" s="6">
        <f t="shared" si="2"/>
        <v>-0.02289999999999992</v>
      </c>
      <c r="J258" s="6">
        <f t="shared" si="29"/>
        <v>0</v>
      </c>
      <c r="K258" s="8">
        <v>0.67</v>
      </c>
      <c r="L258" s="9" t="s">
        <v>28</v>
      </c>
      <c r="M258" s="3">
        <f t="shared" si="4"/>
        <v>0</v>
      </c>
      <c r="N258" s="30">
        <f t="shared" si="30"/>
        <v>0</v>
      </c>
      <c r="O258" s="3">
        <f t="shared" si="31"/>
        <v>1</v>
      </c>
      <c r="P258" s="10">
        <f t="shared" si="7"/>
        <v>1</v>
      </c>
      <c r="Q258" s="6">
        <f t="shared" si="14"/>
        <v>0.5079365079365079</v>
      </c>
      <c r="R258" s="11">
        <v>2853.93</v>
      </c>
      <c r="S258" s="11">
        <v>2874.69</v>
      </c>
      <c r="T258" s="12">
        <f t="shared" si="8"/>
        <v>20.76000000000022</v>
      </c>
      <c r="U258" s="13">
        <f t="shared" si="9"/>
        <v>0.0072741798152022715</v>
      </c>
      <c r="V258" s="6">
        <f t="shared" si="16"/>
        <v>0.5454545454545454</v>
      </c>
      <c r="W258" s="6">
        <f t="shared" si="28"/>
        <v>0.5490196078431373</v>
      </c>
      <c r="X258" s="3">
        <f t="shared" si="10"/>
        <v>1</v>
      </c>
      <c r="Y258" s="3">
        <f t="shared" si="11"/>
        <v>1</v>
      </c>
      <c r="Z258" s="10">
        <f t="shared" si="12"/>
        <v>1</v>
      </c>
      <c r="AA258" s="13">
        <f t="shared" si="13"/>
        <v>0.0072741798152022715</v>
      </c>
    </row>
    <row r="259" spans="1:27" ht="14.25">
      <c r="A259" s="3">
        <f t="shared" si="32"/>
        <v>257</v>
      </c>
      <c r="B259" s="29">
        <f t="shared" si="20"/>
        <v>43339</v>
      </c>
      <c r="C259" s="5">
        <f>22/33</f>
        <v>0.6666666666666666</v>
      </c>
      <c r="D259" s="5">
        <f t="shared" si="27"/>
        <v>0.33333333333333337</v>
      </c>
      <c r="E259" s="6">
        <f t="shared" si="1"/>
        <v>0.33333333333333326</v>
      </c>
      <c r="F259" s="5">
        <v>0.6681999999999999</v>
      </c>
      <c r="G259" s="5">
        <v>0.6864</v>
      </c>
      <c r="H259" s="5">
        <v>0.6318</v>
      </c>
      <c r="I259" s="6">
        <f t="shared" si="2"/>
        <v>0.05459999999999998</v>
      </c>
      <c r="J259" s="6">
        <f t="shared" si="29"/>
        <v>0</v>
      </c>
      <c r="K259" s="8">
        <v>0.65</v>
      </c>
      <c r="L259" s="9" t="s">
        <v>5</v>
      </c>
      <c r="M259" s="3">
        <f t="shared" si="4"/>
        <v>0</v>
      </c>
      <c r="N259" s="30">
        <f t="shared" si="30"/>
        <v>0</v>
      </c>
      <c r="O259" s="3">
        <f t="shared" si="31"/>
        <v>1</v>
      </c>
      <c r="P259" s="10">
        <f t="shared" si="7"/>
        <v>1</v>
      </c>
      <c r="Q259" s="6">
        <f t="shared" si="14"/>
        <v>0.5098814229249012</v>
      </c>
      <c r="R259" s="11">
        <v>2884.69</v>
      </c>
      <c r="S259" s="11">
        <v>2901.52</v>
      </c>
      <c r="T259" s="12">
        <f t="shared" si="8"/>
        <v>16.829999999999927</v>
      </c>
      <c r="U259" s="13">
        <f t="shared" si="9"/>
        <v>0.00583424908742358</v>
      </c>
      <c r="V259" s="6">
        <f t="shared" si="16"/>
        <v>0.6363636363636364</v>
      </c>
      <c r="W259" s="6">
        <f t="shared" si="28"/>
        <v>0.5686274509803921</v>
      </c>
      <c r="X259" s="3">
        <f t="shared" si="10"/>
        <v>1</v>
      </c>
      <c r="Y259" s="3">
        <f t="shared" si="11"/>
        <v>0</v>
      </c>
      <c r="Z259" s="10">
        <f t="shared" si="12"/>
        <v>0</v>
      </c>
      <c r="AA259" s="13">
        <f t="shared" si="13"/>
        <v>0</v>
      </c>
    </row>
    <row r="260" spans="1:27" ht="14.25">
      <c r="A260" s="3">
        <f t="shared" si="32"/>
        <v>258</v>
      </c>
      <c r="B260" s="29">
        <f t="shared" si="20"/>
        <v>43346</v>
      </c>
      <c r="C260" s="5">
        <f>15/36</f>
        <v>0.4166666666666667</v>
      </c>
      <c r="D260" s="5">
        <f t="shared" si="27"/>
        <v>0.5833333333333333</v>
      </c>
      <c r="E260" s="6">
        <f t="shared" si="1"/>
        <v>-0.16666666666666657</v>
      </c>
      <c r="F260" s="5">
        <v>0.6403</v>
      </c>
      <c r="G260" s="5">
        <v>0.6133</v>
      </c>
      <c r="H260" s="5">
        <v>0.6595</v>
      </c>
      <c r="I260" s="6">
        <f t="shared" si="2"/>
        <v>-0.04620000000000002</v>
      </c>
      <c r="J260" s="6">
        <f t="shared" si="29"/>
        <v>0</v>
      </c>
      <c r="K260" s="8">
        <v>0.58</v>
      </c>
      <c r="L260" s="9" t="s">
        <v>5</v>
      </c>
      <c r="M260" s="3">
        <f t="shared" si="4"/>
        <v>0</v>
      </c>
      <c r="N260" s="30">
        <f t="shared" si="30"/>
        <v>0</v>
      </c>
      <c r="O260" s="3">
        <f t="shared" si="31"/>
        <v>1</v>
      </c>
      <c r="P260" s="10">
        <f t="shared" si="7"/>
        <v>0</v>
      </c>
      <c r="Q260" s="6">
        <f t="shared" si="14"/>
        <v>0.5118110236220472</v>
      </c>
      <c r="R260" s="11">
        <v>2896.96</v>
      </c>
      <c r="S260" s="11">
        <v>2871.68</v>
      </c>
      <c r="T260" s="12">
        <f t="shared" si="8"/>
        <v>-25.2800000000002</v>
      </c>
      <c r="U260" s="13">
        <f t="shared" si="9"/>
        <v>-0.008726389042306488</v>
      </c>
      <c r="V260" s="6">
        <f t="shared" si="16"/>
        <v>0.7272727272727273</v>
      </c>
      <c r="W260" s="6">
        <f t="shared" si="28"/>
        <v>0.5882352941176471</v>
      </c>
      <c r="X260" s="3">
        <f t="shared" si="10"/>
        <v>0</v>
      </c>
      <c r="Y260" s="3">
        <f t="shared" si="11"/>
        <v>1</v>
      </c>
      <c r="Z260" s="10">
        <f t="shared" si="12"/>
        <v>0</v>
      </c>
      <c r="AA260" s="13">
        <f t="shared" si="13"/>
        <v>0</v>
      </c>
    </row>
    <row r="261" spans="1:27" ht="14.25">
      <c r="A261" s="3">
        <f t="shared" si="32"/>
        <v>259</v>
      </c>
      <c r="B261" s="29">
        <f t="shared" si="20"/>
        <v>43353</v>
      </c>
      <c r="C261" s="5">
        <f>14/33</f>
        <v>0.42424242424242425</v>
      </c>
      <c r="D261" s="5">
        <f t="shared" si="27"/>
        <v>0.5757575757575757</v>
      </c>
      <c r="E261" s="6">
        <f t="shared" si="1"/>
        <v>-0.15151515151515144</v>
      </c>
      <c r="F261" s="5">
        <v>0.6182</v>
      </c>
      <c r="G261" s="5">
        <v>0.5714</v>
      </c>
      <c r="H261" s="5">
        <v>0.6526000000000001</v>
      </c>
      <c r="I261" s="6">
        <f t="shared" si="2"/>
        <v>-0.08120000000000005</v>
      </c>
      <c r="J261" s="6">
        <f t="shared" si="29"/>
        <v>0</v>
      </c>
      <c r="K261" s="8">
        <v>0.68</v>
      </c>
      <c r="L261" s="9" t="s">
        <v>5</v>
      </c>
      <c r="M261" s="3">
        <f t="shared" si="4"/>
        <v>0</v>
      </c>
      <c r="N261" s="30">
        <f t="shared" si="30"/>
        <v>0</v>
      </c>
      <c r="O261" s="3">
        <f t="shared" si="31"/>
        <v>0</v>
      </c>
      <c r="P261" s="10">
        <f t="shared" si="7"/>
        <v>1</v>
      </c>
      <c r="Q261" s="6">
        <f t="shared" si="14"/>
        <v>0.5098039215686274</v>
      </c>
      <c r="R261" s="11">
        <v>2881.39</v>
      </c>
      <c r="S261" s="11">
        <v>2904.98</v>
      </c>
      <c r="T261" s="12">
        <f t="shared" si="8"/>
        <v>23.590000000000146</v>
      </c>
      <c r="U261" s="13">
        <f t="shared" si="9"/>
        <v>0.008187020847577088</v>
      </c>
      <c r="V261" s="6">
        <f t="shared" si="16"/>
        <v>0.6363636363636364</v>
      </c>
      <c r="W261" s="6">
        <f t="shared" si="28"/>
        <v>0.5882352941176471</v>
      </c>
      <c r="X261" s="3">
        <f t="shared" si="10"/>
        <v>0</v>
      </c>
      <c r="Y261" s="3">
        <f t="shared" si="11"/>
        <v>1</v>
      </c>
      <c r="Z261" s="10">
        <f t="shared" si="12"/>
        <v>0</v>
      </c>
      <c r="AA261" s="13">
        <f t="shared" si="13"/>
        <v>0</v>
      </c>
    </row>
    <row r="262" spans="1:27" ht="14.25">
      <c r="A262" s="3">
        <f t="shared" si="32"/>
        <v>260</v>
      </c>
      <c r="B262" s="29">
        <f t="shared" si="20"/>
        <v>43360</v>
      </c>
      <c r="C262" s="5">
        <f>18/35</f>
        <v>0.5142857142857142</v>
      </c>
      <c r="D262" s="5">
        <f t="shared" si="27"/>
        <v>0.48571428571428577</v>
      </c>
      <c r="E262" s="6">
        <f t="shared" si="1"/>
        <v>0.02857142857142847</v>
      </c>
      <c r="F262" s="5">
        <v>0.6586</v>
      </c>
      <c r="G262" s="5">
        <v>0.6833</v>
      </c>
      <c r="H262" s="5">
        <v>0.6324000000000001</v>
      </c>
      <c r="I262" s="6">
        <f t="shared" si="2"/>
        <v>0.050899999999999945</v>
      </c>
      <c r="J262" s="6">
        <f t="shared" si="29"/>
        <v>0</v>
      </c>
      <c r="K262" s="8">
        <v>0.6</v>
      </c>
      <c r="L262" s="9" t="s">
        <v>5</v>
      </c>
      <c r="M262" s="3">
        <f t="shared" si="4"/>
        <v>0</v>
      </c>
      <c r="N262" s="30">
        <f t="shared" si="30"/>
        <v>0</v>
      </c>
      <c r="O262" s="3">
        <f t="shared" si="31"/>
        <v>1</v>
      </c>
      <c r="P262" s="10">
        <f t="shared" si="7"/>
        <v>1</v>
      </c>
      <c r="Q262" s="6">
        <f t="shared" si="14"/>
        <v>0.51171875</v>
      </c>
      <c r="R262" s="11">
        <v>2903.83</v>
      </c>
      <c r="S262" s="11">
        <v>2929.67</v>
      </c>
      <c r="T262" s="12">
        <f t="shared" si="8"/>
        <v>25.840000000000146</v>
      </c>
      <c r="U262" s="13">
        <f t="shared" si="9"/>
        <v>0.00889859254846191</v>
      </c>
      <c r="V262" s="6">
        <f t="shared" si="16"/>
        <v>0.6363636363636364</v>
      </c>
      <c r="W262" s="6">
        <f t="shared" si="28"/>
        <v>0.6078431372549019</v>
      </c>
      <c r="X262" s="3">
        <f t="shared" si="10"/>
        <v>1</v>
      </c>
      <c r="Y262" s="3">
        <f t="shared" si="11"/>
        <v>0</v>
      </c>
      <c r="Z262" s="10">
        <f t="shared" si="12"/>
        <v>0</v>
      </c>
      <c r="AA262" s="13">
        <f t="shared" si="13"/>
        <v>0</v>
      </c>
    </row>
    <row r="263" spans="1:27" ht="14.25">
      <c r="A263" s="3">
        <f t="shared" si="32"/>
        <v>261</v>
      </c>
      <c r="B263" s="29">
        <f t="shared" si="20"/>
        <v>43367</v>
      </c>
      <c r="C263" s="5">
        <f>13/32</f>
        <v>0.40625</v>
      </c>
      <c r="D263" s="5">
        <f t="shared" si="27"/>
        <v>0.59375</v>
      </c>
      <c r="E263" s="6">
        <f t="shared" si="1"/>
        <v>-0.1875</v>
      </c>
      <c r="F263" s="5">
        <v>0.6281</v>
      </c>
      <c r="G263" s="5">
        <v>0.6114999999999999</v>
      </c>
      <c r="H263" s="5">
        <v>0.6395000000000001</v>
      </c>
      <c r="I263" s="6">
        <f t="shared" si="2"/>
        <v>-0.028000000000000136</v>
      </c>
      <c r="J263" s="6">
        <f t="shared" si="29"/>
        <v>0</v>
      </c>
      <c r="K263" s="8">
        <v>0.57</v>
      </c>
      <c r="L263" s="9" t="s">
        <v>5</v>
      </c>
      <c r="M263" s="3">
        <f t="shared" si="4"/>
        <v>0</v>
      </c>
      <c r="N263" s="30">
        <f t="shared" si="30"/>
        <v>0</v>
      </c>
      <c r="O263" s="3">
        <f t="shared" si="31"/>
        <v>1</v>
      </c>
      <c r="P263" s="10">
        <f t="shared" si="7"/>
        <v>0</v>
      </c>
      <c r="Q263" s="6">
        <f t="shared" si="14"/>
        <v>0.5136186770428015</v>
      </c>
      <c r="R263" s="11">
        <v>2921.83</v>
      </c>
      <c r="S263" s="11">
        <v>2913.98</v>
      </c>
      <c r="T263" s="12">
        <f t="shared" si="8"/>
        <v>-7.849999999999909</v>
      </c>
      <c r="U263" s="13">
        <f t="shared" si="9"/>
        <v>-0.0026866723936710586</v>
      </c>
      <c r="V263" s="6">
        <f t="shared" si="16"/>
        <v>0.6363636363636364</v>
      </c>
      <c r="W263" s="6">
        <f t="shared" si="28"/>
        <v>0.6078431372549019</v>
      </c>
      <c r="X263" s="3">
        <f t="shared" si="10"/>
        <v>0</v>
      </c>
      <c r="Y263" s="3">
        <f t="shared" si="11"/>
        <v>1</v>
      </c>
      <c r="Z263" s="10">
        <f t="shared" si="12"/>
        <v>0</v>
      </c>
      <c r="AA263" s="13">
        <f t="shared" si="13"/>
        <v>0</v>
      </c>
    </row>
    <row r="264" spans="1:25" ht="14.25">
      <c r="A264" s="3">
        <f t="shared" si="32"/>
        <v>262</v>
      </c>
      <c r="B264" s="29">
        <f t="shared" si="20"/>
        <v>43374</v>
      </c>
      <c r="C264" s="5">
        <f>18/29</f>
        <v>0.6206896551724138</v>
      </c>
      <c r="D264" s="5">
        <f t="shared" si="27"/>
        <v>0.3793103448275862</v>
      </c>
      <c r="E264" s="6">
        <f t="shared" si="1"/>
        <v>0.24137931034482762</v>
      </c>
      <c r="F264" s="5">
        <v>0.6328</v>
      </c>
      <c r="G264" s="5">
        <v>0.5972</v>
      </c>
      <c r="H264" s="5">
        <v>0.6909000000000001</v>
      </c>
      <c r="I264" s="6">
        <f t="shared" si="2"/>
        <v>-0.09370000000000012</v>
      </c>
      <c r="J264" s="6">
        <f t="shared" si="29"/>
        <v>0</v>
      </c>
      <c r="K264" s="8">
        <v>0.52</v>
      </c>
      <c r="L264" s="9" t="s">
        <v>5</v>
      </c>
      <c r="M264" s="3" t="s">
        <v>59</v>
      </c>
      <c r="N264" s="3" t="s">
        <v>59</v>
      </c>
      <c r="O264" s="3" t="s">
        <v>59</v>
      </c>
      <c r="P264" s="3" t="s">
        <v>59</v>
      </c>
      <c r="Q264" s="3" t="s">
        <v>59</v>
      </c>
      <c r="R264" s="11" t="s">
        <v>59</v>
      </c>
      <c r="S264" s="11" t="s">
        <v>59</v>
      </c>
      <c r="T264" s="3" t="s">
        <v>59</v>
      </c>
      <c r="U264" s="3" t="s">
        <v>59</v>
      </c>
      <c r="V264" s="3" t="s">
        <v>59</v>
      </c>
      <c r="W264" s="3" t="s">
        <v>59</v>
      </c>
      <c r="X264" s="3">
        <f t="shared" si="10"/>
        <v>1</v>
      </c>
      <c r="Y264" s="3">
        <f t="shared" si="11"/>
        <v>1</v>
      </c>
    </row>
  </sheetData>
  <sheetProtection selectLockedCells="1" selectUnlockedCells="1"/>
  <mergeCells count="1">
    <mergeCell ref="B1:J1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G29" sqref="G29"/>
    </sheetView>
  </sheetViews>
  <sheetFormatPr defaultColWidth="10.28125" defaultRowHeight="12.75"/>
  <cols>
    <col min="1" max="16384" width="11.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5851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2018-09-30T20:17:22Z</dcterms:modified>
  <cp:category/>
  <cp:version/>
  <cp:contentType/>
  <cp:contentStatus/>
  <cp:revision>928</cp:revision>
</cp:coreProperties>
</file>